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ii\Documents\arnaud2\EVER 2012\3EI2024\"/>
    </mc:Choice>
  </mc:AlternateContent>
  <bookViews>
    <workbookView xWindow="0" yWindow="0" windowWidth="28800" windowHeight="1233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5" i="1" l="1"/>
  <c r="V3" i="1" l="1"/>
  <c r="V4" i="1"/>
  <c r="V5" i="1"/>
  <c r="V6" i="1"/>
  <c r="V7" i="1"/>
  <c r="V2" i="1"/>
  <c r="Z7" i="1"/>
  <c r="AB7" i="1" s="1"/>
  <c r="Z6" i="1"/>
  <c r="AC6" i="1" s="1"/>
  <c r="Z5" i="1"/>
  <c r="AC5" i="1" s="1"/>
  <c r="Z4" i="1"/>
  <c r="AB4" i="1" s="1"/>
  <c r="Z3" i="1"/>
  <c r="AB3" i="1" s="1"/>
  <c r="Z2" i="1"/>
  <c r="AC2" i="1" s="1"/>
  <c r="AC7" i="1" l="1"/>
  <c r="AC4" i="1"/>
  <c r="AC3" i="1"/>
  <c r="AB2" i="1"/>
  <c r="AB6" i="1"/>
  <c r="AB5" i="1"/>
  <c r="E53" i="1" l="1"/>
  <c r="E54" i="1"/>
  <c r="E55" i="1"/>
  <c r="E52" i="1"/>
  <c r="C57" i="1"/>
  <c r="E57" i="1" l="1"/>
  <c r="G94" i="1" l="1"/>
  <c r="K91" i="1"/>
  <c r="J93" i="1" l="1"/>
  <c r="K96" i="1"/>
  <c r="J91" i="1"/>
  <c r="J89" i="1"/>
  <c r="K95" i="1"/>
  <c r="J92" i="1"/>
  <c r="K89" i="1"/>
  <c r="J95" i="1"/>
  <c r="K94" i="1"/>
  <c r="L94" i="1" s="1"/>
  <c r="J94" i="1"/>
  <c r="K93" i="1"/>
  <c r="K92" i="1"/>
  <c r="J90" i="1"/>
  <c r="H94" i="1"/>
  <c r="J96" i="1"/>
  <c r="K90" i="1"/>
  <c r="G90" i="1"/>
  <c r="H90" i="1" s="1"/>
  <c r="G91" i="1"/>
  <c r="H91" i="1" s="1"/>
  <c r="G92" i="1"/>
  <c r="G93" i="1"/>
  <c r="H93" i="1" s="1"/>
  <c r="G95" i="1"/>
  <c r="H95" i="1" s="1"/>
  <c r="G96" i="1"/>
  <c r="D96" i="1"/>
  <c r="I96" i="1" s="1"/>
  <c r="L96" i="1" l="1"/>
  <c r="O96" i="1"/>
  <c r="H96" i="1"/>
  <c r="L92" i="1"/>
  <c r="L93" i="1"/>
  <c r="H92" i="1"/>
  <c r="L95" i="1"/>
  <c r="L91" i="1"/>
  <c r="N96" i="1"/>
  <c r="L90" i="1"/>
  <c r="P96" i="1"/>
  <c r="M96" i="1"/>
  <c r="D95" i="1" l="1"/>
  <c r="D94" i="1"/>
  <c r="D90" i="1"/>
  <c r="D91" i="1"/>
  <c r="D92" i="1"/>
  <c r="D93" i="1"/>
  <c r="G89" i="1"/>
  <c r="D89" i="1"/>
  <c r="M90" i="1" l="1"/>
  <c r="I90" i="1"/>
  <c r="I89" i="1"/>
  <c r="M89" i="1"/>
  <c r="I94" i="1"/>
  <c r="M94" i="1"/>
  <c r="H89" i="1"/>
  <c r="L89" i="1"/>
  <c r="I93" i="1"/>
  <c r="M93" i="1"/>
  <c r="I92" i="1"/>
  <c r="M92" i="1"/>
  <c r="I91" i="1"/>
  <c r="M91" i="1"/>
  <c r="I95" i="1"/>
  <c r="M95" i="1"/>
  <c r="O94" i="1" l="1"/>
  <c r="N94" i="1"/>
  <c r="P94" i="1"/>
  <c r="O95" i="1"/>
  <c r="P95" i="1"/>
  <c r="N95" i="1"/>
  <c r="O90" i="1"/>
  <c r="P90" i="1"/>
  <c r="N90" i="1"/>
  <c r="O91" i="1"/>
  <c r="N91" i="1"/>
  <c r="P91" i="1"/>
  <c r="O89" i="1"/>
  <c r="P89" i="1"/>
  <c r="N89" i="1"/>
  <c r="O93" i="1"/>
  <c r="P93" i="1"/>
  <c r="N93" i="1"/>
  <c r="O92" i="1"/>
  <c r="P92" i="1"/>
  <c r="N92" i="1"/>
  <c r="C62" i="1" l="1"/>
  <c r="C63" i="1"/>
  <c r="C64" i="1"/>
  <c r="C65" i="1"/>
  <c r="C66" i="1"/>
  <c r="C67" i="1"/>
  <c r="C68" i="1"/>
  <c r="C61" i="1"/>
  <c r="D76" i="1"/>
  <c r="D77" i="1"/>
  <c r="D78" i="1"/>
  <c r="D79" i="1"/>
  <c r="D75" i="1"/>
  <c r="Q42" i="1" l="1"/>
  <c r="O42" i="1"/>
  <c r="P42" i="1" s="1"/>
  <c r="Q41" i="1"/>
  <c r="Q40" i="1"/>
  <c r="O41" i="1" l="1"/>
  <c r="P41" i="1" s="1"/>
  <c r="O40" i="1"/>
  <c r="P40" i="1" s="1"/>
  <c r="D53" i="1" l="1"/>
  <c r="D52" i="1" l="1"/>
  <c r="D55" i="1"/>
  <c r="D54" i="1"/>
  <c r="L37" i="1"/>
  <c r="O37" i="1" s="1"/>
  <c r="P37" i="1" s="1"/>
  <c r="L35" i="1"/>
  <c r="O35" i="1" s="1"/>
  <c r="P35" i="1" s="1"/>
  <c r="L36" i="1"/>
  <c r="O36" i="1" s="1"/>
  <c r="P36" i="1" s="1"/>
  <c r="L34" i="1"/>
  <c r="Q34" i="1" s="1"/>
  <c r="L33" i="1"/>
  <c r="O33" i="1" s="1"/>
  <c r="P33" i="1" s="1"/>
  <c r="Q36" i="1" l="1"/>
  <c r="Q33" i="1"/>
  <c r="O34" i="1"/>
  <c r="P34" i="1" s="1"/>
  <c r="Q37" i="1"/>
  <c r="Q35" i="1"/>
  <c r="L29" i="1"/>
  <c r="O29" i="1" s="1"/>
  <c r="P29" i="1" s="1"/>
  <c r="L28" i="1"/>
  <c r="O28" i="1" s="1"/>
  <c r="P28" i="1" s="1"/>
  <c r="L32" i="1"/>
  <c r="Q32" i="1" s="1"/>
  <c r="L31" i="1"/>
  <c r="Q31" i="1" s="1"/>
  <c r="L30" i="1"/>
  <c r="Q30" i="1" s="1"/>
  <c r="L25" i="1"/>
  <c r="Q25" i="1" s="1"/>
  <c r="L26" i="1"/>
  <c r="O26" i="1" s="1"/>
  <c r="P26" i="1" s="1"/>
  <c r="L27" i="1"/>
  <c r="O27" i="1" s="1"/>
  <c r="P27" i="1" s="1"/>
  <c r="Q29" i="1" l="1"/>
  <c r="O25" i="1"/>
  <c r="P25" i="1" s="1"/>
  <c r="Q28" i="1"/>
  <c r="O30" i="1"/>
  <c r="P30" i="1" s="1"/>
  <c r="Q27" i="1"/>
  <c r="Q26" i="1"/>
  <c r="O32" i="1"/>
  <c r="P32" i="1" s="1"/>
  <c r="O31" i="1"/>
  <c r="P31" i="1" s="1"/>
  <c r="L24" i="1" l="1"/>
  <c r="O24" i="1" l="1"/>
  <c r="P24" i="1" s="1"/>
  <c r="Q24" i="1"/>
  <c r="L11" i="1" l="1"/>
  <c r="Q11" i="1" s="1"/>
  <c r="L12" i="1"/>
  <c r="Q12" i="1" s="1"/>
  <c r="L13" i="1"/>
  <c r="Q13" i="1" s="1"/>
  <c r="L10" i="1"/>
  <c r="L9" i="1"/>
  <c r="L7" i="1"/>
  <c r="L8" i="1"/>
  <c r="O10" i="1" l="1"/>
  <c r="P10" i="1" s="1"/>
  <c r="Q10" i="1"/>
  <c r="O8" i="1"/>
  <c r="P8" i="1" s="1"/>
  <c r="Q8" i="1"/>
  <c r="O7" i="1"/>
  <c r="P7" i="1" s="1"/>
  <c r="Q7" i="1"/>
  <c r="O9" i="1"/>
  <c r="P9" i="1" s="1"/>
  <c r="Q9" i="1"/>
  <c r="O11" i="1"/>
  <c r="P11" i="1" s="1"/>
  <c r="O13" i="1"/>
  <c r="P13" i="1" s="1"/>
  <c r="O12" i="1"/>
  <c r="P12" i="1" s="1"/>
  <c r="L3" i="1"/>
  <c r="L4" i="1"/>
  <c r="L5" i="1"/>
  <c r="L2" i="1"/>
  <c r="R3" i="1" l="1"/>
  <c r="Q3" i="1"/>
  <c r="S3" i="1"/>
  <c r="Q5" i="1"/>
  <c r="R5" i="1"/>
  <c r="S5" i="1"/>
  <c r="R2" i="1"/>
  <c r="Q2" i="1"/>
  <c r="S2" i="1"/>
  <c r="R4" i="1"/>
  <c r="Q4" i="1"/>
  <c r="S4" i="1"/>
  <c r="P3" i="1"/>
  <c r="P4" i="1"/>
  <c r="P2" i="1"/>
  <c r="P5" i="1"/>
  <c r="O4" i="1"/>
  <c r="O2" i="1"/>
  <c r="O5" i="1"/>
  <c r="O3" i="1"/>
  <c r="T3" i="1" l="1"/>
  <c r="T5" i="1"/>
  <c r="T4" i="1"/>
  <c r="T2" i="1"/>
</calcChain>
</file>

<file path=xl/sharedStrings.xml><?xml version="1.0" encoding="utf-8"?>
<sst xmlns="http://schemas.openxmlformats.org/spreadsheetml/2006/main" count="130" uniqueCount="102">
  <si>
    <t>epaisseur</t>
  </si>
  <si>
    <t>materiaux</t>
  </si>
  <si>
    <t>densité (g/m2)</t>
  </si>
  <si>
    <t>masse volumique (kg/m^3)</t>
  </si>
  <si>
    <t>graisse</t>
  </si>
  <si>
    <r>
      <rPr>
        <sz val="11"/>
        <color theme="1"/>
        <rFont val="Symbol"/>
        <family val="1"/>
        <charset val="2"/>
      </rPr>
      <t xml:space="preserve">l </t>
    </r>
    <r>
      <rPr>
        <sz val="11"/>
        <color theme="1"/>
        <rFont val="Calibri"/>
        <family val="2"/>
        <scheme val="minor"/>
      </rPr>
      <t>conduction (W/m°C)</t>
    </r>
  </si>
  <si>
    <t>air à 20°C</t>
  </si>
  <si>
    <t xml:space="preserve">l’ouate polyester </t>
  </si>
  <si>
    <t>coton acrylique</t>
  </si>
  <si>
    <t>acrylique</t>
  </si>
  <si>
    <t>coton polyester</t>
  </si>
  <si>
    <t>lin</t>
  </si>
  <si>
    <t>gore tex</t>
  </si>
  <si>
    <t>l’ouate polyester polaire</t>
  </si>
  <si>
    <t>eau à 30°C</t>
  </si>
  <si>
    <t xml:space="preserve">100% Coton à 15°C </t>
  </si>
  <si>
    <t>duvet canard 90%</t>
  </si>
  <si>
    <t xml:space="preserve">100% laine à 15°C </t>
  </si>
  <si>
    <t>courant (A)</t>
  </si>
  <si>
    <t>tension (V)</t>
  </si>
  <si>
    <t>power (W)</t>
  </si>
  <si>
    <t>T dessus (°C)</t>
  </si>
  <si>
    <t>T dessous (°C)</t>
  </si>
  <si>
    <t>tamb</t>
  </si>
  <si>
    <t>film resistant</t>
  </si>
  <si>
    <t>doudoune</t>
  </si>
  <si>
    <t>T interne (°C)</t>
  </si>
  <si>
    <t>T externe (°C)</t>
  </si>
  <si>
    <t>RTH (°C/W)</t>
  </si>
  <si>
    <t>forclaz</t>
  </si>
  <si>
    <t>l</t>
  </si>
  <si>
    <t>Tambiant</t>
  </si>
  <si>
    <t>hA (W/°C.m2)</t>
  </si>
  <si>
    <t>hB (W/°C.m2)</t>
  </si>
  <si>
    <t>RTHsous (°C/W)</t>
  </si>
  <si>
    <t>RTHsus (°C/W)</t>
  </si>
  <si>
    <t>RTH plaque (°C/W)</t>
  </si>
  <si>
    <t>RTH</t>
  </si>
  <si>
    <t>ice peak</t>
  </si>
  <si>
    <t>RTH matiere (°C/W)</t>
  </si>
  <si>
    <t>RTH air (°C/W)</t>
  </si>
  <si>
    <t>soft</t>
  </si>
  <si>
    <t>carton 5mm</t>
  </si>
  <si>
    <t>carton 10mm</t>
  </si>
  <si>
    <t>polaire 100g/m2</t>
  </si>
  <si>
    <t>2 polaire 100g/m2</t>
  </si>
  <si>
    <t>respiration</t>
  </si>
  <si>
    <t>W.h/jour</t>
  </si>
  <si>
    <t>ml/h</t>
  </si>
  <si>
    <t>%</t>
  </si>
  <si>
    <t>evaporation surface tronc</t>
  </si>
  <si>
    <t>evaporation cutanéé</t>
  </si>
  <si>
    <t>conduction cutané</t>
  </si>
  <si>
    <t>total</t>
  </si>
  <si>
    <t>33 à 1000</t>
  </si>
  <si>
    <t>13 à 30</t>
  </si>
  <si>
    <t>chaussette</t>
  </si>
  <si>
    <t>merinos</t>
  </si>
  <si>
    <t xml:space="preserve">head hiking-crew </t>
  </si>
  <si>
    <t>masse</t>
  </si>
  <si>
    <t>Veste -5°C à 10°C</t>
  </si>
  <si>
    <t>Doudoune 10°C à 15°C</t>
  </si>
  <si>
    <t>Veste 8°C à 15°C</t>
  </si>
  <si>
    <t>Softshell 14°Cà 18°C</t>
  </si>
  <si>
    <t>Polaire 100g/m2 15°C à 19°C</t>
  </si>
  <si>
    <t>R</t>
  </si>
  <si>
    <t>temeprature</t>
  </si>
  <si>
    <t>resitance°C/W</t>
  </si>
  <si>
    <t>power</t>
  </si>
  <si>
    <t xml:space="preserve">DT </t>
  </si>
  <si>
    <t>T cold</t>
  </si>
  <si>
    <t>T hot</t>
  </si>
  <si>
    <t>voltage</t>
  </si>
  <si>
    <t>theorie</t>
  </si>
  <si>
    <t>mesure refroidissement eau</t>
  </si>
  <si>
    <t>sm</t>
  </si>
  <si>
    <t>RTHm</t>
  </si>
  <si>
    <t>RTH dissip</t>
  </si>
  <si>
    <t>T hot (°*C)</t>
  </si>
  <si>
    <t>Tamb</t>
  </si>
  <si>
    <t>Tcold</t>
  </si>
  <si>
    <t>P cold</t>
  </si>
  <si>
    <t>Phot</t>
  </si>
  <si>
    <t>RTH m</t>
  </si>
  <si>
    <r>
      <t>36</t>
    </r>
    <r>
      <rPr>
        <sz val="11"/>
        <color theme="1"/>
        <rFont val="Calibri"/>
        <family val="2"/>
      </rPr>
      <t>Ω</t>
    </r>
  </si>
  <si>
    <t>table 2</t>
  </si>
  <si>
    <t>table 3</t>
  </si>
  <si>
    <t>table 4</t>
  </si>
  <si>
    <t>table 5</t>
  </si>
  <si>
    <t>2 en 1</t>
  </si>
  <si>
    <t>table 1</t>
  </si>
  <si>
    <t>table 8</t>
  </si>
  <si>
    <t>table 6</t>
  </si>
  <si>
    <t>R (°C/W)</t>
  </si>
  <si>
    <t>(W/m°C)</t>
  </si>
  <si>
    <t>epaisseur (mm)</t>
  </si>
  <si>
    <t>table 0</t>
  </si>
  <si>
    <t>estima</t>
  </si>
  <si>
    <t>table 7</t>
  </si>
  <si>
    <t>tableau 7</t>
  </si>
  <si>
    <t>film resistant 60W (ohm)</t>
  </si>
  <si>
    <t>table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</si>
</sst>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2" xfId="0" applyFont="1" applyBorder="1"/>
    <xf numFmtId="0" fontId="0" fillId="0" borderId="13" xfId="0" applyBorder="1"/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/>
    <xf numFmtId="0" fontId="0" fillId="2" borderId="0" xfId="0" applyFill="1"/>
    <xf numFmtId="0" fontId="0" fillId="2" borderId="1" xfId="0" applyFill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1" xfId="0" applyFill="1" applyBorder="1"/>
    <xf numFmtId="0" fontId="0" fillId="0" borderId="0" xfId="0" applyAlignment="1"/>
    <xf numFmtId="0" fontId="0" fillId="3" borderId="17" xfId="0" applyFill="1" applyBorder="1"/>
    <xf numFmtId="0" fontId="0" fillId="2" borderId="20" xfId="0" applyFill="1" applyBorder="1" applyAlignment="1">
      <alignment horizontal="center" wrapText="1"/>
    </xf>
    <xf numFmtId="0" fontId="0" fillId="4" borderId="1" xfId="0" applyFill="1" applyBorder="1"/>
    <xf numFmtId="0" fontId="0" fillId="4" borderId="20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20" xfId="0" applyFill="1" applyBorder="1"/>
    <xf numFmtId="0" fontId="0" fillId="4" borderId="17" xfId="0" applyFill="1" applyBorder="1"/>
    <xf numFmtId="164" fontId="0" fillId="4" borderId="7" xfId="0" applyNumberFormat="1" applyFill="1" applyBorder="1"/>
    <xf numFmtId="165" fontId="0" fillId="4" borderId="8" xfId="0" applyNumberFormat="1" applyFill="1" applyBorder="1"/>
    <xf numFmtId="0" fontId="0" fillId="5" borderId="17" xfId="0" applyFill="1" applyBorder="1"/>
    <xf numFmtId="0" fontId="0" fillId="5" borderId="1" xfId="0" applyFill="1" applyBorder="1"/>
    <xf numFmtId="0" fontId="0" fillId="5" borderId="20" xfId="0" applyFill="1" applyBorder="1"/>
    <xf numFmtId="164" fontId="0" fillId="5" borderId="7" xfId="0" applyNumberFormat="1" applyFill="1" applyBorder="1"/>
    <xf numFmtId="0" fontId="1" fillId="4" borderId="22" xfId="0" applyFont="1" applyFill="1" applyBorder="1" applyAlignment="1">
      <alignment horizontal="center" wrapText="1"/>
    </xf>
    <xf numFmtId="164" fontId="0" fillId="2" borderId="20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8" xfId="0" applyNumberForma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3" xfId="0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/>
    </xf>
    <xf numFmtId="0" fontId="0" fillId="6" borderId="1" xfId="0" applyFill="1" applyBorder="1"/>
    <xf numFmtId="164" fontId="0" fillId="6" borderId="1" xfId="0" applyNumberFormat="1" applyFill="1" applyBorder="1"/>
    <xf numFmtId="165" fontId="0" fillId="6" borderId="1" xfId="0" applyNumberFormat="1" applyFill="1" applyBorder="1"/>
    <xf numFmtId="164" fontId="0" fillId="6" borderId="1" xfId="0" applyNumberFormat="1" applyFill="1" applyBorder="1" applyAlignment="1">
      <alignment horizontal="center"/>
    </xf>
    <xf numFmtId="0" fontId="0" fillId="7" borderId="1" xfId="0" applyFill="1" applyBorder="1"/>
    <xf numFmtId="164" fontId="0" fillId="7" borderId="1" xfId="0" applyNumberFormat="1" applyFill="1" applyBorder="1"/>
    <xf numFmtId="165" fontId="0" fillId="7" borderId="1" xfId="0" applyNumberFormat="1" applyFill="1" applyBorder="1"/>
    <xf numFmtId="164" fontId="0" fillId="7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Fill="1" applyBorder="1"/>
    <xf numFmtId="2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9" fontId="0" fillId="0" borderId="1" xfId="0" applyNumberFormat="1" applyBorder="1" applyAlignment="1">
      <alignment horizontal="center"/>
    </xf>
    <xf numFmtId="0" fontId="4" fillId="2" borderId="0" xfId="0" applyFont="1" applyFill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0" fontId="0" fillId="0" borderId="0" xfId="0" applyFill="1" applyBorder="1"/>
    <xf numFmtId="0" fontId="4" fillId="0" borderId="0" xfId="0" applyFont="1" applyBorder="1"/>
    <xf numFmtId="164" fontId="0" fillId="8" borderId="1" xfId="0" applyNumberFormat="1" applyFill="1" applyBorder="1" applyAlignment="1">
      <alignment horizontal="center"/>
    </xf>
    <xf numFmtId="0" fontId="0" fillId="5" borderId="19" xfId="0" applyFill="1" applyBorder="1"/>
    <xf numFmtId="0" fontId="0" fillId="5" borderId="18" xfId="0" applyFill="1" applyBorder="1"/>
    <xf numFmtId="0" fontId="0" fillId="5" borderId="21" xfId="0" applyFill="1" applyBorder="1"/>
    <xf numFmtId="164" fontId="0" fillId="5" borderId="29" xfId="0" applyNumberFormat="1" applyFill="1" applyBorder="1"/>
    <xf numFmtId="164" fontId="0" fillId="0" borderId="0" xfId="0" applyNumberFormat="1" applyFill="1" applyBorder="1"/>
    <xf numFmtId="0" fontId="0" fillId="0" borderId="0" xfId="0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7" borderId="18" xfId="0" applyFill="1" applyBorder="1"/>
    <xf numFmtId="164" fontId="0" fillId="7" borderId="18" xfId="0" applyNumberFormat="1" applyFill="1" applyBorder="1"/>
    <xf numFmtId="165" fontId="0" fillId="7" borderId="18" xfId="0" applyNumberFormat="1" applyFill="1" applyBorder="1"/>
    <xf numFmtId="164" fontId="0" fillId="7" borderId="18" xfId="0" applyNumberFormat="1" applyFill="1" applyBorder="1" applyAlignment="1">
      <alignment horizontal="center"/>
    </xf>
    <xf numFmtId="0" fontId="0" fillId="0" borderId="0" xfId="0" applyFont="1" applyFill="1" applyBorder="1"/>
    <xf numFmtId="165" fontId="0" fillId="0" borderId="0" xfId="0" applyNumberFormat="1" applyFill="1" applyBorder="1"/>
    <xf numFmtId="165" fontId="0" fillId="8" borderId="8" xfId="0" applyNumberFormat="1" applyFill="1" applyBorder="1"/>
    <xf numFmtId="165" fontId="0" fillId="8" borderId="30" xfId="0" applyNumberFormat="1" applyFill="1" applyBorder="1"/>
    <xf numFmtId="164" fontId="0" fillId="8" borderId="18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338733136064999"/>
          <c:y val="5.628383952005999E-2"/>
          <c:w val="0.57663477104731986"/>
          <c:h val="0.837151106111736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Feuil1!$A$15:$A$27</c:f>
              <c:strCache>
                <c:ptCount val="13"/>
                <c:pt idx="0">
                  <c:v>eau à 30°C</c:v>
                </c:pt>
                <c:pt idx="1">
                  <c:v>graisse</c:v>
                </c:pt>
                <c:pt idx="2">
                  <c:v>l’ouate polyester </c:v>
                </c:pt>
                <c:pt idx="3">
                  <c:v>lin</c:v>
                </c:pt>
                <c:pt idx="4">
                  <c:v>coton polyester</c:v>
                </c:pt>
                <c:pt idx="5">
                  <c:v>coton acrylique</c:v>
                </c:pt>
                <c:pt idx="6">
                  <c:v>acrylique</c:v>
                </c:pt>
                <c:pt idx="7">
                  <c:v>l’ouate polyester polaire</c:v>
                </c:pt>
                <c:pt idx="8">
                  <c:v>100% Coton à 15°C </c:v>
                </c:pt>
                <c:pt idx="9">
                  <c:v>100% laine à 15°C </c:v>
                </c:pt>
                <c:pt idx="10">
                  <c:v>duvet canard 90%</c:v>
                </c:pt>
                <c:pt idx="11">
                  <c:v>gore tex</c:v>
                </c:pt>
                <c:pt idx="12">
                  <c:v>air à 20°C</c:v>
                </c:pt>
              </c:strCache>
            </c:strRef>
          </c:cat>
          <c:val>
            <c:numRef>
              <c:f>Feuil1!$B$15:$B$27</c:f>
              <c:numCache>
                <c:formatCode>General</c:formatCode>
                <c:ptCount val="13"/>
                <c:pt idx="0">
                  <c:v>0.63</c:v>
                </c:pt>
                <c:pt idx="1">
                  <c:v>0.14000000000000001</c:v>
                </c:pt>
                <c:pt idx="2">
                  <c:v>0.254</c:v>
                </c:pt>
                <c:pt idx="3">
                  <c:v>0.16</c:v>
                </c:pt>
                <c:pt idx="4">
                  <c:v>0.12</c:v>
                </c:pt>
                <c:pt idx="5">
                  <c:v>7.1999999999999995E-2</c:v>
                </c:pt>
                <c:pt idx="6">
                  <c:v>5.5E-2</c:v>
                </c:pt>
                <c:pt idx="7">
                  <c:v>5.3999999999999999E-2</c:v>
                </c:pt>
                <c:pt idx="8">
                  <c:v>0.04</c:v>
                </c:pt>
                <c:pt idx="9">
                  <c:v>3.9E-2</c:v>
                </c:pt>
                <c:pt idx="10">
                  <c:v>3.5000000000000003E-2</c:v>
                </c:pt>
                <c:pt idx="11">
                  <c:v>2.8000000000000001E-2</c:v>
                </c:pt>
                <c:pt idx="12">
                  <c:v>2.5999999999999999E-2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60-4B10-9463-823F21E2D0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15932816"/>
        <c:axId val="1315931568"/>
      </c:barChart>
      <c:catAx>
        <c:axId val="1315932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15931568"/>
        <c:crosses val="autoZero"/>
        <c:auto val="1"/>
        <c:lblAlgn val="ctr"/>
        <c:lblOffset val="100"/>
        <c:noMultiLvlLbl val="0"/>
      </c:catAx>
      <c:valAx>
        <c:axId val="1315931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15932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37076027996500438"/>
                  <c:y val="-0.2050069667217524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Feuil1!$A$62:$A$68</c:f>
              <c:numCache>
                <c:formatCode>General</c:formatCode>
                <c:ptCount val="7"/>
                <c:pt idx="0">
                  <c:v>-5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12</c:v>
                </c:pt>
                <c:pt idx="5">
                  <c:v>16</c:v>
                </c:pt>
                <c:pt idx="6">
                  <c:v>31</c:v>
                </c:pt>
              </c:numCache>
            </c:numRef>
          </c:xVal>
          <c:yVal>
            <c:numRef>
              <c:f>Feuil1!$B$62:$B$68</c:f>
              <c:numCache>
                <c:formatCode>General</c:formatCode>
                <c:ptCount val="7"/>
                <c:pt idx="0">
                  <c:v>20</c:v>
                </c:pt>
                <c:pt idx="1">
                  <c:v>16</c:v>
                </c:pt>
                <c:pt idx="2">
                  <c:v>14</c:v>
                </c:pt>
                <c:pt idx="3">
                  <c:v>9</c:v>
                </c:pt>
                <c:pt idx="4">
                  <c:v>7</c:v>
                </c:pt>
                <c:pt idx="5">
                  <c:v>3.7</c:v>
                </c:pt>
                <c:pt idx="6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212-4E6E-AEB9-63944EBEE41A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5113517060367452"/>
                  <c:y val="-0.4313444152814231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Feuil1!$A$62:$A$69</c:f>
              <c:numCache>
                <c:formatCode>General</c:formatCode>
                <c:ptCount val="8"/>
                <c:pt idx="0">
                  <c:v>-5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12</c:v>
                </c:pt>
                <c:pt idx="5">
                  <c:v>16</c:v>
                </c:pt>
                <c:pt idx="6">
                  <c:v>31</c:v>
                </c:pt>
              </c:numCache>
            </c:numRef>
          </c:xVal>
          <c:yVal>
            <c:numRef>
              <c:f>Feuil1!$C$62:$C$69</c:f>
              <c:numCache>
                <c:formatCode>General</c:formatCode>
                <c:ptCount val="8"/>
                <c:pt idx="0">
                  <c:v>0.25600000000000001</c:v>
                </c:pt>
                <c:pt idx="1">
                  <c:v>0.20480000000000001</c:v>
                </c:pt>
                <c:pt idx="2">
                  <c:v>0.1792</c:v>
                </c:pt>
                <c:pt idx="3">
                  <c:v>0.11520000000000001</c:v>
                </c:pt>
                <c:pt idx="4">
                  <c:v>8.9599999999999999E-2</c:v>
                </c:pt>
                <c:pt idx="5">
                  <c:v>4.7360000000000006E-2</c:v>
                </c:pt>
                <c:pt idx="6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212-4E6E-AEB9-63944EBEE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8256272"/>
        <c:axId val="1428253776"/>
      </c:scatterChart>
      <c:valAx>
        <c:axId val="1428256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8253776"/>
        <c:crosses val="autoZero"/>
        <c:crossBetween val="midCat"/>
      </c:valAx>
      <c:valAx>
        <c:axId val="14282537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8256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32015874521708881"/>
                  <c:y val="-0.5359309631750576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cat>
            <c:numRef>
              <c:f>Feuil1!$A$61:$A$68</c:f>
              <c:numCache>
                <c:formatCode>General</c:formatCode>
                <c:ptCount val="8"/>
                <c:pt idx="0">
                  <c:v>-10</c:v>
                </c:pt>
                <c:pt idx="1">
                  <c:v>-5</c:v>
                </c:pt>
                <c:pt idx="2">
                  <c:v>0</c:v>
                </c:pt>
                <c:pt idx="3">
                  <c:v>5</c:v>
                </c:pt>
                <c:pt idx="4">
                  <c:v>10</c:v>
                </c:pt>
                <c:pt idx="5">
                  <c:v>12</c:v>
                </c:pt>
                <c:pt idx="6">
                  <c:v>16</c:v>
                </c:pt>
                <c:pt idx="7">
                  <c:v>31</c:v>
                </c:pt>
              </c:numCache>
            </c:numRef>
          </c:cat>
          <c:val>
            <c:numRef>
              <c:f>Feuil1!$C$61:$C$68</c:f>
              <c:numCache>
                <c:formatCode>General</c:formatCode>
                <c:ptCount val="8"/>
                <c:pt idx="0">
                  <c:v>0.32</c:v>
                </c:pt>
                <c:pt idx="1">
                  <c:v>0.25600000000000001</c:v>
                </c:pt>
                <c:pt idx="2">
                  <c:v>0.20480000000000001</c:v>
                </c:pt>
                <c:pt idx="3">
                  <c:v>0.1792</c:v>
                </c:pt>
                <c:pt idx="4">
                  <c:v>0.11520000000000001</c:v>
                </c:pt>
                <c:pt idx="5">
                  <c:v>8.9599999999999999E-2</c:v>
                </c:pt>
                <c:pt idx="6">
                  <c:v>4.7360000000000006E-2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6-4E2D-91AF-7EE2E76A0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6068016"/>
        <c:axId val="806067600"/>
      </c:barChart>
      <c:catAx>
        <c:axId val="80606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067600"/>
        <c:crosses val="autoZero"/>
        <c:auto val="1"/>
        <c:lblAlgn val="ctr"/>
        <c:lblOffset val="100"/>
        <c:noMultiLvlLbl val="0"/>
      </c:catAx>
      <c:valAx>
        <c:axId val="80606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06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°C</a:t>
            </a:r>
            <a:r>
              <a:rPr lang="fr-FR" baseline="0"/>
              <a:t>   Temperature cold , hot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Feuil1!$E$88</c:f>
              <c:strCache>
                <c:ptCount val="1"/>
                <c:pt idx="0">
                  <c:v>T cold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Feuil1!$B$89:$B$96</c:f>
              <c:numCache>
                <c:formatCode>General</c:formatCode>
                <c:ptCount val="8"/>
                <c:pt idx="0">
                  <c:v>0.5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7.8</c:v>
                </c:pt>
              </c:numCache>
            </c:numRef>
          </c:xVal>
          <c:yVal>
            <c:numRef>
              <c:f>Feuil1!$E$89:$E$96</c:f>
              <c:numCache>
                <c:formatCode>General</c:formatCode>
                <c:ptCount val="8"/>
                <c:pt idx="0">
                  <c:v>16</c:v>
                </c:pt>
                <c:pt idx="1">
                  <c:v>11.5</c:v>
                </c:pt>
                <c:pt idx="2">
                  <c:v>5.4</c:v>
                </c:pt>
                <c:pt idx="3">
                  <c:v>0</c:v>
                </c:pt>
                <c:pt idx="4">
                  <c:v>-2.7</c:v>
                </c:pt>
                <c:pt idx="5">
                  <c:v>-3</c:v>
                </c:pt>
                <c:pt idx="6">
                  <c:v>-1.3</c:v>
                </c:pt>
                <c:pt idx="7">
                  <c:v>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05-4262-9270-07E2C54600FC}"/>
            </c:ext>
          </c:extLst>
        </c:ser>
        <c:ser>
          <c:idx val="1"/>
          <c:order val="1"/>
          <c:tx>
            <c:strRef>
              <c:f>Feuil1!$F$88</c:f>
              <c:strCache>
                <c:ptCount val="1"/>
                <c:pt idx="0">
                  <c:v>T hot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Feuil1!$B$89:$B$96</c:f>
              <c:numCache>
                <c:formatCode>General</c:formatCode>
                <c:ptCount val="8"/>
                <c:pt idx="0">
                  <c:v>0.5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7.8</c:v>
                </c:pt>
              </c:numCache>
            </c:numRef>
          </c:xVal>
          <c:yVal>
            <c:numRef>
              <c:f>Feuil1!$F$89:$F$96</c:f>
              <c:numCache>
                <c:formatCode>General</c:formatCode>
                <c:ptCount val="8"/>
                <c:pt idx="0">
                  <c:v>19.2</c:v>
                </c:pt>
                <c:pt idx="1">
                  <c:v>20</c:v>
                </c:pt>
                <c:pt idx="2">
                  <c:v>22</c:v>
                </c:pt>
                <c:pt idx="3">
                  <c:v>23</c:v>
                </c:pt>
                <c:pt idx="4">
                  <c:v>25</c:v>
                </c:pt>
                <c:pt idx="5">
                  <c:v>34</c:v>
                </c:pt>
                <c:pt idx="6">
                  <c:v>43</c:v>
                </c:pt>
                <c:pt idx="7">
                  <c:v>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505-4262-9270-07E2C5460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850015"/>
        <c:axId val="2041847135"/>
      </c:scatterChart>
      <c:valAx>
        <c:axId val="19988500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1847135"/>
        <c:crosses val="autoZero"/>
        <c:crossBetween val="midCat"/>
      </c:valAx>
      <c:valAx>
        <c:axId val="2041847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988500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29</xdr:row>
      <xdr:rowOff>47625</xdr:rowOff>
    </xdr:from>
    <xdr:to>
      <xdr:col>3</xdr:col>
      <xdr:colOff>514350</xdr:colOff>
      <xdr:row>44</xdr:row>
      <xdr:rowOff>28575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209550</xdr:colOff>
      <xdr:row>45</xdr:row>
      <xdr:rowOff>123825</xdr:rowOff>
    </xdr:from>
    <xdr:to>
      <xdr:col>12</xdr:col>
      <xdr:colOff>180975</xdr:colOff>
      <xdr:row>61</xdr:row>
      <xdr:rowOff>152400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161925</xdr:colOff>
      <xdr:row>46</xdr:row>
      <xdr:rowOff>38100</xdr:rowOff>
    </xdr:from>
    <xdr:to>
      <xdr:col>19</xdr:col>
      <xdr:colOff>685800</xdr:colOff>
      <xdr:row>62</xdr:row>
      <xdr:rowOff>123825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371475</xdr:colOff>
      <xdr:row>72</xdr:row>
      <xdr:rowOff>95250</xdr:rowOff>
    </xdr:from>
    <xdr:to>
      <xdr:col>17</xdr:col>
      <xdr:colOff>457200</xdr:colOff>
      <xdr:row>85</xdr:row>
      <xdr:rowOff>28575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6"/>
  <sheetViews>
    <sheetView tabSelected="1" workbookViewId="0">
      <selection activeCell="T14" sqref="T14"/>
    </sheetView>
  </sheetViews>
  <sheetFormatPr baseColWidth="10" defaultRowHeight="15" x14ac:dyDescent="0.25"/>
  <cols>
    <col min="1" max="1" width="26.85546875" customWidth="1"/>
    <col min="2" max="2" width="13.85546875" customWidth="1"/>
    <col min="3" max="3" width="11.7109375" customWidth="1"/>
    <col min="4" max="4" width="8.85546875" customWidth="1"/>
    <col min="8" max="8" width="15.85546875" customWidth="1"/>
    <col min="9" max="9" width="7.140625" customWidth="1"/>
    <col min="10" max="10" width="7.85546875" customWidth="1"/>
    <col min="11" max="11" width="7.5703125" customWidth="1"/>
    <col min="12" max="12" width="7.7109375" customWidth="1"/>
    <col min="13" max="14" width="9.5703125" customWidth="1"/>
    <col min="15" max="15" width="8" customWidth="1"/>
    <col min="16" max="16" width="8.140625" customWidth="1"/>
    <col min="17" max="17" width="8.85546875" customWidth="1"/>
    <col min="18" max="18" width="7.7109375" customWidth="1"/>
  </cols>
  <sheetData>
    <row r="1" spans="1:29" ht="45" x14ac:dyDescent="0.25">
      <c r="G1" t="s">
        <v>90</v>
      </c>
      <c r="H1" s="19" t="s">
        <v>24</v>
      </c>
      <c r="I1" s="23" t="s">
        <v>23</v>
      </c>
      <c r="J1" s="26" t="s">
        <v>19</v>
      </c>
      <c r="K1" s="20" t="s">
        <v>18</v>
      </c>
      <c r="L1" s="20" t="s">
        <v>20</v>
      </c>
      <c r="M1" s="20" t="s">
        <v>21</v>
      </c>
      <c r="N1" s="21" t="s">
        <v>22</v>
      </c>
      <c r="O1" s="22" t="s">
        <v>32</v>
      </c>
      <c r="P1" s="20" t="s">
        <v>33</v>
      </c>
      <c r="Q1" s="20" t="s">
        <v>34</v>
      </c>
      <c r="R1" s="20" t="s">
        <v>35</v>
      </c>
      <c r="S1" s="20" t="s">
        <v>36</v>
      </c>
      <c r="T1" s="52" t="s">
        <v>37</v>
      </c>
      <c r="U1" s="78" t="s">
        <v>101</v>
      </c>
      <c r="V1" s="93" t="s">
        <v>100</v>
      </c>
      <c r="W1" s="23" t="s">
        <v>23</v>
      </c>
      <c r="X1" s="20" t="s">
        <v>19</v>
      </c>
      <c r="Y1" s="20" t="s">
        <v>18</v>
      </c>
      <c r="Z1" s="20" t="s">
        <v>20</v>
      </c>
      <c r="AA1" s="20" t="s">
        <v>21</v>
      </c>
      <c r="AB1" s="20" t="s">
        <v>32</v>
      </c>
      <c r="AC1" s="20" t="s">
        <v>35</v>
      </c>
    </row>
    <row r="2" spans="1:29" x14ac:dyDescent="0.25">
      <c r="H2" s="19" t="s">
        <v>84</v>
      </c>
      <c r="I2" s="42">
        <v>20</v>
      </c>
      <c r="J2" s="43">
        <v>8</v>
      </c>
      <c r="K2" s="42">
        <v>0.22</v>
      </c>
      <c r="L2" s="44">
        <f>J2*K2</f>
        <v>1.76</v>
      </c>
      <c r="M2" s="42">
        <v>32.700000000000003</v>
      </c>
      <c r="N2" s="45">
        <v>31.7</v>
      </c>
      <c r="O2" s="46">
        <f>L2/(0.0064*2*(M2-I2))</f>
        <v>10.826771653543304</v>
      </c>
      <c r="P2" s="44">
        <f>L2/(0.0064*2*(N2-I2))</f>
        <v>11.752136752136751</v>
      </c>
      <c r="Q2" s="47">
        <f>(N2-I2)*2/L2</f>
        <v>13.295454545454545</v>
      </c>
      <c r="R2" s="47">
        <f>(M2-I2)*2/L2</f>
        <v>14.431818181818185</v>
      </c>
      <c r="S2" s="47">
        <f>(M2-N2)/L2</f>
        <v>0.56818181818182023</v>
      </c>
      <c r="T2" s="41">
        <f>1/((O2+P2)*0.0064)</f>
        <v>6.9201751117734736</v>
      </c>
      <c r="V2" s="44">
        <f>X2/Y2</f>
        <v>2.3076923076923075</v>
      </c>
      <c r="W2" s="42">
        <v>19</v>
      </c>
      <c r="X2" s="42">
        <v>1.5</v>
      </c>
      <c r="Y2" s="42">
        <v>0.65</v>
      </c>
      <c r="Z2" s="44">
        <f>X2*Y2</f>
        <v>0.97500000000000009</v>
      </c>
      <c r="AA2" s="42">
        <v>29</v>
      </c>
      <c r="AB2" s="44">
        <f>Z2/(0.0075*2*(AA2-W2))</f>
        <v>6.5000000000000009</v>
      </c>
      <c r="AC2" s="47">
        <f>(AA2-W2)*2/Z2</f>
        <v>20.512820512820511</v>
      </c>
    </row>
    <row r="3" spans="1:29" x14ac:dyDescent="0.25">
      <c r="H3" s="77" t="s">
        <v>90</v>
      </c>
      <c r="I3" s="42">
        <v>20</v>
      </c>
      <c r="J3" s="43">
        <v>10</v>
      </c>
      <c r="K3" s="42">
        <v>0.28000000000000003</v>
      </c>
      <c r="L3" s="44">
        <f t="shared" ref="L3:L5" si="0">J3*K3</f>
        <v>2.8000000000000003</v>
      </c>
      <c r="M3" s="42">
        <v>40</v>
      </c>
      <c r="N3" s="45">
        <v>37</v>
      </c>
      <c r="O3" s="46">
        <f>L3/(0.0064*2*(M3-I3))</f>
        <v>10.9375</v>
      </c>
      <c r="P3" s="44">
        <f>L3/(0.0064*2*(N3-I3))</f>
        <v>12.867647058823529</v>
      </c>
      <c r="Q3" s="47">
        <f>(N3-I3)*2/L3</f>
        <v>12.142857142857142</v>
      </c>
      <c r="R3" s="47">
        <f>(M3-I3)*2/L3</f>
        <v>14.285714285714285</v>
      </c>
      <c r="S3" s="47">
        <f t="shared" ref="S3:S5" si="1">(M3-N3)/L3</f>
        <v>1.0714285714285714</v>
      </c>
      <c r="T3" s="41">
        <f>1/((O3+P3)*0.0064)</f>
        <v>6.5637065637065639</v>
      </c>
      <c r="V3" s="44">
        <f t="shared" ref="V3:V7" si="2">X3/Y3</f>
        <v>2.3529411764705883</v>
      </c>
      <c r="W3" s="42">
        <v>19</v>
      </c>
      <c r="X3" s="42">
        <v>2</v>
      </c>
      <c r="Y3" s="42">
        <v>0.85</v>
      </c>
      <c r="Z3" s="44">
        <f t="shared" ref="Z3:Z7" si="3">X3*Y3</f>
        <v>1.7</v>
      </c>
      <c r="AA3" s="42">
        <v>32.6</v>
      </c>
      <c r="AB3" s="44">
        <f t="shared" ref="AB3:AB7" si="4">Z3/(0.0075*2*(AA3-W3))</f>
        <v>8.3333333333333321</v>
      </c>
      <c r="AC3" s="47">
        <f t="shared" ref="AC3:AC7" si="5">(AA3-W3)*2/Z3</f>
        <v>16.000000000000004</v>
      </c>
    </row>
    <row r="4" spans="1:29" x14ac:dyDescent="0.25">
      <c r="H4" s="19"/>
      <c r="I4" s="42">
        <v>20</v>
      </c>
      <c r="J4" s="43">
        <v>12</v>
      </c>
      <c r="K4" s="42">
        <v>0.34</v>
      </c>
      <c r="L4" s="44">
        <f t="shared" si="0"/>
        <v>4.08</v>
      </c>
      <c r="M4" s="42">
        <v>50</v>
      </c>
      <c r="N4" s="45">
        <v>46</v>
      </c>
      <c r="O4" s="46">
        <f>L4/(0.0064*2*(M4-I4))</f>
        <v>10.625</v>
      </c>
      <c r="P4" s="44">
        <f>L4/(0.0064*2*(N4-I4))</f>
        <v>12.259615384615383</v>
      </c>
      <c r="Q4" s="47">
        <f>(N4-I4)*2/L4</f>
        <v>12.745098039215685</v>
      </c>
      <c r="R4" s="47">
        <f>(M4-I4)*2/L4</f>
        <v>14.705882352941176</v>
      </c>
      <c r="S4" s="47">
        <f t="shared" si="1"/>
        <v>0.98039215686274506</v>
      </c>
      <c r="T4" s="41">
        <f>1/((O4+P4)*0.0064)</f>
        <v>6.8277310924369754</v>
      </c>
      <c r="V4" s="44">
        <f t="shared" si="2"/>
        <v>2.5</v>
      </c>
      <c r="W4" s="42">
        <v>19</v>
      </c>
      <c r="X4" s="42">
        <v>2.5</v>
      </c>
      <c r="Y4" s="42">
        <v>1</v>
      </c>
      <c r="Z4" s="44">
        <f t="shared" si="3"/>
        <v>2.5</v>
      </c>
      <c r="AA4" s="42">
        <v>39.6</v>
      </c>
      <c r="AB4" s="44">
        <f t="shared" si="4"/>
        <v>8.090614886731391</v>
      </c>
      <c r="AC4" s="47">
        <f t="shared" si="5"/>
        <v>16.48</v>
      </c>
    </row>
    <row r="5" spans="1:29" ht="15.75" thickBot="1" x14ac:dyDescent="0.3">
      <c r="H5" s="19"/>
      <c r="I5" s="42">
        <v>20</v>
      </c>
      <c r="J5" s="48">
        <v>30.4</v>
      </c>
      <c r="K5" s="49">
        <v>0.84</v>
      </c>
      <c r="L5" s="50">
        <f t="shared" si="0"/>
        <v>25.535999999999998</v>
      </c>
      <c r="M5" s="49">
        <v>108</v>
      </c>
      <c r="N5" s="51">
        <v>100</v>
      </c>
      <c r="O5" s="46">
        <f>L5/(0.0064*2*(M5-I5))</f>
        <v>22.670454545454543</v>
      </c>
      <c r="P5" s="44">
        <f>L5/(0.0064*2*(N5-I5))</f>
        <v>24.937499999999996</v>
      </c>
      <c r="Q5" s="47">
        <f>(N5-I5)*2/L5</f>
        <v>6.2656641604010028</v>
      </c>
      <c r="R5" s="47">
        <f>(M5-I5)*2/L5</f>
        <v>6.8922305764411034</v>
      </c>
      <c r="S5" s="47">
        <f t="shared" si="1"/>
        <v>0.31328320802005016</v>
      </c>
      <c r="T5" s="41">
        <f>1/((O5+P5)*0.0064)</f>
        <v>3.2820145602100492</v>
      </c>
      <c r="V5" s="44">
        <f t="shared" si="2"/>
        <v>2.5210084033613445</v>
      </c>
      <c r="W5" s="42">
        <v>19</v>
      </c>
      <c r="X5" s="42">
        <v>3</v>
      </c>
      <c r="Y5" s="42">
        <v>1.19</v>
      </c>
      <c r="Z5" s="44">
        <f t="shared" si="3"/>
        <v>3.57</v>
      </c>
      <c r="AA5" s="42">
        <v>43</v>
      </c>
      <c r="AB5" s="44">
        <f t="shared" si="4"/>
        <v>9.9166666666666661</v>
      </c>
      <c r="AC5" s="47">
        <f t="shared" si="5"/>
        <v>13.445378151260504</v>
      </c>
    </row>
    <row r="6" spans="1:29" ht="32.25" customHeight="1" x14ac:dyDescent="0.25">
      <c r="G6" s="78" t="s">
        <v>88</v>
      </c>
      <c r="H6" s="25" t="s">
        <v>25</v>
      </c>
      <c r="I6" s="27" t="s">
        <v>31</v>
      </c>
      <c r="J6" s="28" t="s">
        <v>19</v>
      </c>
      <c r="K6" s="29" t="s">
        <v>18</v>
      </c>
      <c r="L6" s="29" t="s">
        <v>20</v>
      </c>
      <c r="M6" s="29" t="s">
        <v>26</v>
      </c>
      <c r="N6" s="30" t="s">
        <v>27</v>
      </c>
      <c r="O6" s="31" t="s">
        <v>39</v>
      </c>
      <c r="P6" s="40" t="s">
        <v>30</v>
      </c>
      <c r="Q6" s="31" t="s">
        <v>40</v>
      </c>
      <c r="R6" s="24"/>
      <c r="V6" s="44">
        <f t="shared" si="2"/>
        <v>2.5316455696202529</v>
      </c>
      <c r="W6" s="42">
        <v>19</v>
      </c>
      <c r="X6" s="42">
        <v>6</v>
      </c>
      <c r="Y6" s="42">
        <v>2.37</v>
      </c>
      <c r="Z6" s="44">
        <f t="shared" si="3"/>
        <v>14.22</v>
      </c>
      <c r="AA6" s="23">
        <v>95</v>
      </c>
      <c r="AB6" s="44">
        <f t="shared" si="4"/>
        <v>12.473684210526317</v>
      </c>
      <c r="AC6" s="47">
        <f t="shared" si="5"/>
        <v>10.689170182841069</v>
      </c>
    </row>
    <row r="7" spans="1:29" x14ac:dyDescent="0.25">
      <c r="H7" s="25"/>
      <c r="I7" s="27">
        <v>20</v>
      </c>
      <c r="J7" s="32">
        <v>8</v>
      </c>
      <c r="K7" s="27">
        <v>0.22</v>
      </c>
      <c r="L7" s="27">
        <f t="shared" ref="L7:L13" si="6">J7*K7</f>
        <v>1.76</v>
      </c>
      <c r="M7" s="27">
        <v>38</v>
      </c>
      <c r="N7" s="33">
        <v>30</v>
      </c>
      <c r="O7" s="34">
        <f>(M7-N7)/(L7/2)</f>
        <v>9.0909090909090917</v>
      </c>
      <c r="P7" s="35">
        <f>0.005/(O7*0.0064)</f>
        <v>8.5937499999999986E-2</v>
      </c>
      <c r="Q7" s="53">
        <f t="shared" ref="Q7:Q13" si="7">(N7-I7)/(L7/2)</f>
        <v>11.363636363636363</v>
      </c>
      <c r="V7" s="44">
        <f t="shared" si="2"/>
        <v>2.5641025641025643</v>
      </c>
      <c r="W7" s="42">
        <v>19</v>
      </c>
      <c r="X7" s="42">
        <v>12</v>
      </c>
      <c r="Y7" s="42">
        <v>4.68</v>
      </c>
      <c r="Z7" s="44">
        <f t="shared" si="3"/>
        <v>56.16</v>
      </c>
      <c r="AA7" s="23">
        <v>250</v>
      </c>
      <c r="AB7" s="44">
        <f t="shared" si="4"/>
        <v>16.207792207792206</v>
      </c>
      <c r="AC7" s="47">
        <f t="shared" si="5"/>
        <v>8.2264957264957275</v>
      </c>
    </row>
    <row r="8" spans="1:29" x14ac:dyDescent="0.25">
      <c r="H8" s="25"/>
      <c r="I8" s="27">
        <v>20</v>
      </c>
      <c r="J8" s="32">
        <v>10</v>
      </c>
      <c r="K8" s="27">
        <v>0.28000000000000003</v>
      </c>
      <c r="L8" s="27">
        <f t="shared" si="6"/>
        <v>2.8000000000000003</v>
      </c>
      <c r="M8" s="27">
        <v>42</v>
      </c>
      <c r="N8" s="33">
        <v>30.4</v>
      </c>
      <c r="O8" s="34">
        <f t="shared" ref="O8:O13" si="8">(M8-N8)/(L8/2)</f>
        <v>8.2857142857142865</v>
      </c>
      <c r="P8" s="35">
        <f>0.005/(O8*0.0064)</f>
        <v>9.428879310344826E-2</v>
      </c>
      <c r="Q8" s="53">
        <f t="shared" si="7"/>
        <v>7.428571428571427</v>
      </c>
    </row>
    <row r="9" spans="1:29" x14ac:dyDescent="0.25">
      <c r="H9" s="25"/>
      <c r="I9" s="27">
        <v>10</v>
      </c>
      <c r="J9" s="32">
        <v>8</v>
      </c>
      <c r="K9" s="27">
        <v>0.22</v>
      </c>
      <c r="L9" s="27">
        <f t="shared" si="6"/>
        <v>1.76</v>
      </c>
      <c r="M9" s="27">
        <v>47</v>
      </c>
      <c r="N9" s="33">
        <v>33</v>
      </c>
      <c r="O9" s="34">
        <f t="shared" si="8"/>
        <v>15.909090909090908</v>
      </c>
      <c r="P9" s="35">
        <f>0.005/(O9*0.0064)</f>
        <v>4.9107142857142856E-2</v>
      </c>
      <c r="Q9" s="53">
        <f t="shared" si="7"/>
        <v>26.136363636363637</v>
      </c>
    </row>
    <row r="10" spans="1:29" x14ac:dyDescent="0.25">
      <c r="H10" s="25"/>
      <c r="I10" s="27">
        <v>10</v>
      </c>
      <c r="J10" s="32">
        <v>10</v>
      </c>
      <c r="K10" s="27">
        <v>0.28000000000000003</v>
      </c>
      <c r="L10" s="27">
        <f t="shared" si="6"/>
        <v>2.8000000000000003</v>
      </c>
      <c r="M10" s="27">
        <v>52</v>
      </c>
      <c r="N10" s="33">
        <v>35</v>
      </c>
      <c r="O10" s="34">
        <f t="shared" si="8"/>
        <v>12.142857142857142</v>
      </c>
      <c r="P10" s="35">
        <f>0.005/(O10*0.0064)</f>
        <v>6.4338235294117654E-2</v>
      </c>
      <c r="Q10" s="53">
        <f t="shared" si="7"/>
        <v>17.857142857142854</v>
      </c>
    </row>
    <row r="11" spans="1:29" x14ac:dyDescent="0.25">
      <c r="G11" s="78" t="s">
        <v>87</v>
      </c>
      <c r="H11" s="36" t="s">
        <v>29</v>
      </c>
      <c r="I11" s="37">
        <v>20</v>
      </c>
      <c r="J11" s="38">
        <v>8</v>
      </c>
      <c r="K11" s="37">
        <v>0.22</v>
      </c>
      <c r="L11" s="37">
        <f t="shared" si="6"/>
        <v>1.76</v>
      </c>
      <c r="M11" s="37">
        <v>40</v>
      </c>
      <c r="N11" s="36">
        <v>26</v>
      </c>
      <c r="O11" s="39">
        <f t="shared" si="8"/>
        <v>15.909090909090908</v>
      </c>
      <c r="P11" s="100">
        <f>0.00875/(O11*0.0064)</f>
        <v>8.59375E-2</v>
      </c>
      <c r="Q11" s="84">
        <f t="shared" si="7"/>
        <v>6.8181818181818183</v>
      </c>
    </row>
    <row r="12" spans="1:29" x14ac:dyDescent="0.25">
      <c r="H12" s="36" t="s">
        <v>89</v>
      </c>
      <c r="I12" s="37">
        <v>20</v>
      </c>
      <c r="J12" s="38">
        <v>10</v>
      </c>
      <c r="K12" s="37">
        <v>0.28000000000000003</v>
      </c>
      <c r="L12" s="37">
        <f t="shared" si="6"/>
        <v>2.8000000000000003</v>
      </c>
      <c r="M12" s="37">
        <v>59</v>
      </c>
      <c r="N12" s="36">
        <v>30.6</v>
      </c>
      <c r="O12" s="39">
        <f t="shared" si="8"/>
        <v>20.285714285714281</v>
      </c>
      <c r="P12" s="100">
        <f t="shared" ref="P12:P13" si="9">0.00875/(O12*0.0064)</f>
        <v>6.7396566901408467E-2</v>
      </c>
      <c r="Q12" s="84">
        <f t="shared" si="7"/>
        <v>7.5714285714285721</v>
      </c>
    </row>
    <row r="13" spans="1:29" ht="17.25" customHeight="1" thickBot="1" x14ac:dyDescent="0.3">
      <c r="A13" t="s">
        <v>99</v>
      </c>
      <c r="H13" s="85"/>
      <c r="I13" s="86">
        <v>10</v>
      </c>
      <c r="J13" s="87">
        <v>10</v>
      </c>
      <c r="K13" s="86">
        <v>0.28000000000000003</v>
      </c>
      <c r="L13" s="86">
        <f t="shared" si="6"/>
        <v>2.8000000000000003</v>
      </c>
      <c r="M13" s="86">
        <v>52</v>
      </c>
      <c r="N13" s="85">
        <v>21.7</v>
      </c>
      <c r="O13" s="88">
        <f t="shared" si="8"/>
        <v>21.642857142857142</v>
      </c>
      <c r="P13" s="101">
        <f t="shared" si="9"/>
        <v>6.3170379537953791E-2</v>
      </c>
      <c r="Q13" s="102">
        <f t="shared" si="7"/>
        <v>8.3571428571428559</v>
      </c>
    </row>
    <row r="14" spans="1:29" ht="46.5" customHeight="1" thickBot="1" x14ac:dyDescent="0.3">
      <c r="A14" s="11" t="s">
        <v>1</v>
      </c>
      <c r="B14" s="12" t="s">
        <v>5</v>
      </c>
      <c r="C14" s="13" t="s">
        <v>3</v>
      </c>
      <c r="D14" s="14" t="s">
        <v>2</v>
      </c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9"/>
    </row>
    <row r="15" spans="1:29" x14ac:dyDescent="0.25">
      <c r="A15" s="10" t="s">
        <v>14</v>
      </c>
      <c r="B15" s="15">
        <v>0.63</v>
      </c>
      <c r="C15" s="16">
        <v>1000</v>
      </c>
      <c r="D15" s="17"/>
      <c r="G15" s="82"/>
      <c r="H15" s="82"/>
      <c r="I15" s="82"/>
      <c r="J15" s="90"/>
      <c r="K15" s="90"/>
      <c r="L15" s="90"/>
      <c r="M15" s="90"/>
      <c r="N15" s="90"/>
      <c r="O15" s="90"/>
      <c r="P15" s="91"/>
      <c r="Q15" s="82"/>
      <c r="R15" s="82"/>
    </row>
    <row r="16" spans="1:29" x14ac:dyDescent="0.25">
      <c r="A16" s="1" t="s">
        <v>4</v>
      </c>
      <c r="B16" s="3">
        <v>0.14000000000000001</v>
      </c>
      <c r="C16" s="4">
        <v>900</v>
      </c>
      <c r="D16" s="5"/>
      <c r="G16" s="82"/>
      <c r="H16" s="82"/>
      <c r="I16" s="82"/>
      <c r="J16" s="82"/>
      <c r="K16" s="82"/>
      <c r="L16" s="82"/>
      <c r="M16" s="82"/>
      <c r="N16" s="82"/>
      <c r="O16" s="89"/>
      <c r="P16" s="89"/>
      <c r="Q16" s="92"/>
      <c r="R16" s="92"/>
    </row>
    <row r="17" spans="1:18" x14ac:dyDescent="0.25">
      <c r="A17" s="1" t="s">
        <v>7</v>
      </c>
      <c r="B17" s="3">
        <v>0.254</v>
      </c>
      <c r="C17" s="4">
        <v>45</v>
      </c>
      <c r="D17" s="5">
        <v>100</v>
      </c>
      <c r="G17" s="82"/>
      <c r="H17" s="82"/>
      <c r="I17" s="82"/>
      <c r="J17" s="82"/>
      <c r="K17" s="82"/>
      <c r="L17" s="82"/>
      <c r="M17" s="82"/>
      <c r="N17" s="82"/>
      <c r="O17" s="89"/>
      <c r="P17" s="89"/>
      <c r="Q17" s="92"/>
      <c r="R17" s="92"/>
    </row>
    <row r="18" spans="1:18" x14ac:dyDescent="0.25">
      <c r="A18" s="1" t="s">
        <v>11</v>
      </c>
      <c r="B18" s="3">
        <v>0.16</v>
      </c>
      <c r="C18" s="4">
        <v>400</v>
      </c>
      <c r="D18" s="5"/>
      <c r="G18" s="82"/>
      <c r="H18" s="82"/>
      <c r="I18" s="82"/>
      <c r="J18" s="82"/>
      <c r="K18" s="82"/>
      <c r="L18" s="82"/>
      <c r="M18" s="82"/>
      <c r="N18" s="82"/>
      <c r="O18" s="89"/>
      <c r="P18" s="89"/>
      <c r="Q18" s="92"/>
      <c r="R18" s="92"/>
    </row>
    <row r="19" spans="1:18" x14ac:dyDescent="0.25">
      <c r="A19" s="1" t="s">
        <v>10</v>
      </c>
      <c r="B19" s="3">
        <v>0.12</v>
      </c>
      <c r="C19" s="4"/>
      <c r="D19" s="5"/>
      <c r="G19" s="82"/>
      <c r="H19" s="82"/>
      <c r="I19" s="82"/>
      <c r="J19" s="82"/>
      <c r="K19" s="82"/>
      <c r="L19" s="82"/>
      <c r="M19" s="82"/>
      <c r="N19" s="82"/>
      <c r="O19" s="89"/>
      <c r="P19" s="89"/>
      <c r="Q19" s="92"/>
      <c r="R19" s="92"/>
    </row>
    <row r="20" spans="1:18" x14ac:dyDescent="0.25">
      <c r="A20" s="1" t="s">
        <v>8</v>
      </c>
      <c r="B20" s="3">
        <v>7.1999999999999995E-2</v>
      </c>
      <c r="C20" s="4"/>
      <c r="D20" s="5"/>
    </row>
    <row r="21" spans="1:18" x14ac:dyDescent="0.25">
      <c r="A21" s="1" t="s">
        <v>9</v>
      </c>
      <c r="B21" s="3">
        <v>5.5E-2</v>
      </c>
      <c r="C21" s="4"/>
      <c r="D21" s="5"/>
    </row>
    <row r="22" spans="1:18" ht="15.75" thickBot="1" x14ac:dyDescent="0.3">
      <c r="A22" s="1" t="s">
        <v>13</v>
      </c>
      <c r="B22" s="3">
        <v>5.3999999999999999E-2</v>
      </c>
      <c r="C22" s="4">
        <v>90</v>
      </c>
      <c r="D22" s="5">
        <v>200</v>
      </c>
    </row>
    <row r="23" spans="1:18" ht="30" x14ac:dyDescent="0.25">
      <c r="A23" s="9" t="s">
        <v>15</v>
      </c>
      <c r="B23" s="3">
        <v>0.04</v>
      </c>
      <c r="C23" s="4">
        <v>270</v>
      </c>
      <c r="D23" s="5"/>
      <c r="H23" s="25" t="s">
        <v>38</v>
      </c>
      <c r="I23" s="27" t="s">
        <v>31</v>
      </c>
      <c r="J23" s="28" t="s">
        <v>19</v>
      </c>
      <c r="K23" s="29" t="s">
        <v>18</v>
      </c>
      <c r="L23" s="29" t="s">
        <v>20</v>
      </c>
      <c r="M23" s="29" t="s">
        <v>26</v>
      </c>
      <c r="N23" s="30" t="s">
        <v>27</v>
      </c>
      <c r="O23" s="31" t="s">
        <v>28</v>
      </c>
      <c r="P23" s="40" t="s">
        <v>30</v>
      </c>
      <c r="Q23" s="31" t="s">
        <v>40</v>
      </c>
    </row>
    <row r="24" spans="1:18" x14ac:dyDescent="0.25">
      <c r="A24" s="1" t="s">
        <v>17</v>
      </c>
      <c r="B24" s="3">
        <v>3.9E-2</v>
      </c>
      <c r="C24" s="4">
        <v>200</v>
      </c>
      <c r="D24" s="5"/>
      <c r="H24" s="25"/>
      <c r="I24" s="27">
        <v>20</v>
      </c>
      <c r="J24" s="32">
        <v>10</v>
      </c>
      <c r="K24" s="27">
        <v>0.28000000000000003</v>
      </c>
      <c r="L24" s="27">
        <f t="shared" ref="L24:L29" si="10">J24*K24</f>
        <v>2.8000000000000003</v>
      </c>
      <c r="M24" s="27">
        <v>46</v>
      </c>
      <c r="N24" s="33">
        <v>27.8</v>
      </c>
      <c r="O24" s="34">
        <f>(M24-N24)/(L24/2)</f>
        <v>12.999999999999998</v>
      </c>
      <c r="P24" s="35">
        <f>0.005/(O24*0.0064)</f>
        <v>6.0096153846153848E-2</v>
      </c>
      <c r="Q24" s="53">
        <f t="shared" ref="Q24:Q29" si="11">(N24-I24)/(L24/2)</f>
        <v>5.5714285714285712</v>
      </c>
    </row>
    <row r="25" spans="1:18" ht="15.75" x14ac:dyDescent="0.25">
      <c r="A25" s="9" t="s">
        <v>16</v>
      </c>
      <c r="B25" s="3">
        <v>3.5000000000000003E-2</v>
      </c>
      <c r="C25" s="4">
        <v>30</v>
      </c>
      <c r="D25" s="5"/>
      <c r="H25" s="25"/>
      <c r="I25" s="27">
        <v>20</v>
      </c>
      <c r="J25" s="32">
        <v>12</v>
      </c>
      <c r="K25" s="27">
        <v>0.34</v>
      </c>
      <c r="L25" s="27">
        <f t="shared" si="10"/>
        <v>4.08</v>
      </c>
      <c r="M25" s="27">
        <v>54</v>
      </c>
      <c r="N25" s="33">
        <v>29</v>
      </c>
      <c r="O25" s="34">
        <f t="shared" ref="O25:O29" si="12">(M25-N25)/(L25/2)</f>
        <v>12.254901960784313</v>
      </c>
      <c r="P25" s="35">
        <f>0.005/(O25*0.0064)</f>
        <v>6.3750000000000001E-2</v>
      </c>
      <c r="Q25" s="53">
        <f t="shared" si="11"/>
        <v>4.4117647058823533</v>
      </c>
    </row>
    <row r="26" spans="1:18" ht="15.75" x14ac:dyDescent="0.25">
      <c r="A26" s="9" t="s">
        <v>12</v>
      </c>
      <c r="B26" s="3">
        <v>2.8000000000000001E-2</v>
      </c>
      <c r="C26" s="4"/>
      <c r="D26" s="5"/>
      <c r="H26" s="25" t="s">
        <v>41</v>
      </c>
      <c r="I26" s="27">
        <v>20</v>
      </c>
      <c r="J26" s="32">
        <v>10</v>
      </c>
      <c r="K26" s="27">
        <v>0.28000000000000003</v>
      </c>
      <c r="L26" s="27">
        <f t="shared" si="10"/>
        <v>2.8000000000000003</v>
      </c>
      <c r="M26" s="27">
        <v>48</v>
      </c>
      <c r="N26" s="33">
        <v>34.700000000000003</v>
      </c>
      <c r="O26" s="34">
        <f t="shared" si="12"/>
        <v>9.4999999999999964</v>
      </c>
      <c r="P26" s="35">
        <f>0.00075/(O26*0.0064)</f>
        <v>1.2335526315789477E-2</v>
      </c>
      <c r="Q26" s="53">
        <f t="shared" si="11"/>
        <v>10.500000000000002</v>
      </c>
    </row>
    <row r="27" spans="1:18" ht="15.75" thickBot="1" x14ac:dyDescent="0.3">
      <c r="A27" s="2" t="s">
        <v>6</v>
      </c>
      <c r="B27" s="6">
        <v>2.5999999999999999E-2</v>
      </c>
      <c r="C27" s="7">
        <v>1.2</v>
      </c>
      <c r="D27" s="8"/>
      <c r="H27" s="25"/>
      <c r="I27" s="27">
        <v>20</v>
      </c>
      <c r="J27" s="32">
        <v>12</v>
      </c>
      <c r="K27" s="27">
        <v>0.34</v>
      </c>
      <c r="L27" s="27">
        <f t="shared" si="10"/>
        <v>4.08</v>
      </c>
      <c r="M27" s="27">
        <v>54</v>
      </c>
      <c r="N27" s="33">
        <v>38</v>
      </c>
      <c r="O27" s="34">
        <f t="shared" si="12"/>
        <v>7.8431372549019605</v>
      </c>
      <c r="P27" s="35">
        <f>0.00075/(O27*0.0064)</f>
        <v>1.4941406250000001E-2</v>
      </c>
      <c r="Q27" s="53">
        <f t="shared" si="11"/>
        <v>8.8235294117647065</v>
      </c>
    </row>
    <row r="28" spans="1:18" x14ac:dyDescent="0.25">
      <c r="G28" s="78" t="s">
        <v>85</v>
      </c>
      <c r="H28" s="18" t="s">
        <v>42</v>
      </c>
      <c r="I28" s="54">
        <v>19</v>
      </c>
      <c r="J28" s="54">
        <v>12</v>
      </c>
      <c r="K28" s="54">
        <v>0.34</v>
      </c>
      <c r="L28" s="54">
        <f t="shared" si="10"/>
        <v>4.08</v>
      </c>
      <c r="M28" s="54">
        <v>55</v>
      </c>
      <c r="N28" s="54">
        <v>35</v>
      </c>
      <c r="O28" s="55">
        <f t="shared" si="12"/>
        <v>9.8039215686274517</v>
      </c>
      <c r="P28" s="56">
        <f>0.005/(O28*0.0064)</f>
        <v>7.9687499999999981E-2</v>
      </c>
      <c r="Q28" s="57">
        <f t="shared" si="11"/>
        <v>7.8431372549019605</v>
      </c>
    </row>
    <row r="29" spans="1:18" x14ac:dyDescent="0.25">
      <c r="H29" s="18"/>
      <c r="I29" s="54">
        <v>19</v>
      </c>
      <c r="J29" s="54">
        <v>14</v>
      </c>
      <c r="K29" s="54">
        <v>0.38</v>
      </c>
      <c r="L29" s="54">
        <f t="shared" si="10"/>
        <v>5.32</v>
      </c>
      <c r="M29" s="54">
        <v>69</v>
      </c>
      <c r="N29" s="54">
        <v>42.7</v>
      </c>
      <c r="O29" s="55">
        <f t="shared" si="12"/>
        <v>9.88721804511278</v>
      </c>
      <c r="P29" s="56">
        <f>0.005/(O29*0.0064)</f>
        <v>7.9016159695817503E-2</v>
      </c>
      <c r="Q29" s="57">
        <f t="shared" si="11"/>
        <v>8.9097744360902258</v>
      </c>
    </row>
    <row r="30" spans="1:18" x14ac:dyDescent="0.25">
      <c r="H30" s="18"/>
      <c r="I30" s="54">
        <v>19</v>
      </c>
      <c r="J30" s="54">
        <v>16.5</v>
      </c>
      <c r="K30" s="54">
        <v>0.44</v>
      </c>
      <c r="L30" s="54">
        <f t="shared" ref="L30" si="13">J30*K30</f>
        <v>7.26</v>
      </c>
      <c r="M30" s="54">
        <v>91</v>
      </c>
      <c r="N30" s="54">
        <v>51.7</v>
      </c>
      <c r="O30" s="55">
        <f t="shared" ref="O30" si="14">(M30-N30)/(L30/2)</f>
        <v>10.826446280991735</v>
      </c>
      <c r="P30" s="56">
        <f>0.005/(O30*0.0064)</f>
        <v>7.2161259541984726E-2</v>
      </c>
      <c r="Q30" s="57">
        <f t="shared" ref="Q30" si="15">(N30-I30)/(L30/2)</f>
        <v>9.0082644628099189</v>
      </c>
    </row>
    <row r="31" spans="1:18" x14ac:dyDescent="0.25">
      <c r="H31" s="18" t="s">
        <v>43</v>
      </c>
      <c r="I31" s="54">
        <v>19</v>
      </c>
      <c r="J31" s="54">
        <v>12</v>
      </c>
      <c r="K31" s="54">
        <v>0.34</v>
      </c>
      <c r="L31" s="54">
        <f t="shared" ref="L31:L37" si="16">J31*K31</f>
        <v>4.08</v>
      </c>
      <c r="M31" s="54">
        <v>59</v>
      </c>
      <c r="N31" s="54">
        <v>29.2</v>
      </c>
      <c r="O31" s="55">
        <f t="shared" ref="O31:O37" si="17">(M31-N31)/(L31/2)</f>
        <v>14.607843137254902</v>
      </c>
      <c r="P31" s="56">
        <f>(0.005*2)/(O31*0.0064)</f>
        <v>0.10696308724832215</v>
      </c>
      <c r="Q31" s="57">
        <f t="shared" ref="Q31:Q37" si="18">(N31-I31)/(L31/2)</f>
        <v>5</v>
      </c>
    </row>
    <row r="32" spans="1:18" x14ac:dyDescent="0.25">
      <c r="H32" s="18"/>
      <c r="I32" s="54">
        <v>19</v>
      </c>
      <c r="J32" s="54">
        <v>14</v>
      </c>
      <c r="K32" s="54">
        <v>0.38</v>
      </c>
      <c r="L32" s="54">
        <f t="shared" si="16"/>
        <v>5.32</v>
      </c>
      <c r="M32" s="54">
        <v>73</v>
      </c>
      <c r="N32" s="54">
        <v>33</v>
      </c>
      <c r="O32" s="55">
        <f t="shared" si="17"/>
        <v>15.037593984962406</v>
      </c>
      <c r="P32" s="56">
        <f>(0.005*2)/(O32*0.0064)</f>
        <v>0.10390624999999999</v>
      </c>
      <c r="Q32" s="57">
        <f t="shared" si="18"/>
        <v>5.2631578947368416</v>
      </c>
    </row>
    <row r="33" spans="1:17" x14ac:dyDescent="0.25">
      <c r="G33" s="78" t="s">
        <v>86</v>
      </c>
      <c r="H33" s="58" t="s">
        <v>44</v>
      </c>
      <c r="I33" s="58">
        <v>19</v>
      </c>
      <c r="J33" s="58">
        <v>10</v>
      </c>
      <c r="K33" s="58">
        <v>0.28000000000000003</v>
      </c>
      <c r="L33" s="58">
        <f t="shared" si="16"/>
        <v>2.8000000000000003</v>
      </c>
      <c r="M33" s="58">
        <v>32</v>
      </c>
      <c r="N33" s="58">
        <v>26.9</v>
      </c>
      <c r="O33" s="59">
        <f t="shared" si="17"/>
        <v>3.6428571428571437</v>
      </c>
      <c r="P33" s="60">
        <f>0.0005/(O33*0.0064)</f>
        <v>2.1446078431372542E-2</v>
      </c>
      <c r="Q33" s="61">
        <f t="shared" si="18"/>
        <v>5.6428571428571415</v>
      </c>
    </row>
    <row r="34" spans="1:17" x14ac:dyDescent="0.25">
      <c r="A34" s="1"/>
      <c r="B34" s="5"/>
      <c r="C34" s="3"/>
      <c r="D34" s="4"/>
      <c r="H34" s="58"/>
      <c r="I34" s="58">
        <v>19</v>
      </c>
      <c r="J34" s="58">
        <v>12</v>
      </c>
      <c r="K34" s="58">
        <v>0.34</v>
      </c>
      <c r="L34" s="58">
        <f t="shared" si="16"/>
        <v>4.08</v>
      </c>
      <c r="M34" s="58">
        <v>41</v>
      </c>
      <c r="N34" s="58">
        <v>33</v>
      </c>
      <c r="O34" s="59">
        <f t="shared" si="17"/>
        <v>3.9215686274509802</v>
      </c>
      <c r="P34" s="60">
        <f>0.0005/(O34*0.0064)</f>
        <v>1.9921875000000002E-2</v>
      </c>
      <c r="Q34" s="61">
        <f t="shared" si="18"/>
        <v>6.8627450980392153</v>
      </c>
    </row>
    <row r="35" spans="1:17" x14ac:dyDescent="0.25">
      <c r="H35" s="58" t="s">
        <v>45</v>
      </c>
      <c r="I35" s="58">
        <v>19</v>
      </c>
      <c r="J35" s="58">
        <v>10</v>
      </c>
      <c r="K35" s="58">
        <v>0.28000000000000003</v>
      </c>
      <c r="L35" s="58">
        <f t="shared" si="16"/>
        <v>2.8000000000000003</v>
      </c>
      <c r="M35" s="58">
        <v>36</v>
      </c>
      <c r="N35" s="58">
        <v>27.6</v>
      </c>
      <c r="O35" s="59">
        <f t="shared" si="17"/>
        <v>5.9999999999999982</v>
      </c>
      <c r="P35" s="60">
        <f>(0.0005*2)/(O35*0.0064)</f>
        <v>2.6041666666666675E-2</v>
      </c>
      <c r="Q35" s="61">
        <f t="shared" si="18"/>
        <v>6.1428571428571432</v>
      </c>
    </row>
    <row r="36" spans="1:17" x14ac:dyDescent="0.25">
      <c r="H36" s="58"/>
      <c r="I36" s="58">
        <v>19</v>
      </c>
      <c r="J36" s="58">
        <v>12</v>
      </c>
      <c r="K36" s="58">
        <v>0.34</v>
      </c>
      <c r="L36" s="58">
        <f t="shared" si="16"/>
        <v>4.08</v>
      </c>
      <c r="M36" s="58">
        <v>44</v>
      </c>
      <c r="N36" s="58">
        <v>32.200000000000003</v>
      </c>
      <c r="O36" s="59">
        <f t="shared" si="17"/>
        <v>5.7843137254901942</v>
      </c>
      <c r="P36" s="60">
        <f>(0.0005*2)/(O36*0.0064)</f>
        <v>2.7012711864406787E-2</v>
      </c>
      <c r="Q36" s="61">
        <f t="shared" si="18"/>
        <v>6.4705882352941186</v>
      </c>
    </row>
    <row r="37" spans="1:17" x14ac:dyDescent="0.25">
      <c r="H37" s="58"/>
      <c r="I37" s="58">
        <v>19</v>
      </c>
      <c r="J37" s="58">
        <v>14</v>
      </c>
      <c r="K37" s="58">
        <v>0.38</v>
      </c>
      <c r="L37" s="58">
        <f t="shared" si="16"/>
        <v>5.32</v>
      </c>
      <c r="M37" s="58">
        <v>56</v>
      </c>
      <c r="N37" s="58">
        <v>37.799999999999997</v>
      </c>
      <c r="O37" s="59">
        <f t="shared" si="17"/>
        <v>6.8421052631578956</v>
      </c>
      <c r="P37" s="60">
        <f>(0.0005*2)/(O37*0.0064)</f>
        <v>2.283653846153846E-2</v>
      </c>
      <c r="Q37" s="61">
        <f t="shared" si="18"/>
        <v>7.0676691729323293</v>
      </c>
    </row>
    <row r="39" spans="1:17" x14ac:dyDescent="0.25">
      <c r="J39" t="s">
        <v>59</v>
      </c>
      <c r="K39" t="s">
        <v>0</v>
      </c>
    </row>
    <row r="40" spans="1:17" x14ac:dyDescent="0.25">
      <c r="G40" s="78" t="s">
        <v>91</v>
      </c>
      <c r="H40" s="58" t="s">
        <v>56</v>
      </c>
      <c r="I40" s="58">
        <v>19</v>
      </c>
      <c r="J40" s="58">
        <v>80</v>
      </c>
      <c r="K40" s="58">
        <v>2.5</v>
      </c>
      <c r="L40" s="58">
        <v>2.8</v>
      </c>
      <c r="M40" s="58">
        <v>35</v>
      </c>
      <c r="N40" s="58">
        <v>29</v>
      </c>
      <c r="O40" s="59">
        <f t="shared" ref="O40:O41" si="19">(M40-N40)/(L40/2)</f>
        <v>4.2857142857142856</v>
      </c>
      <c r="P40" s="60">
        <f>0.0025/(O40*0.0064)</f>
        <v>9.1145833333333329E-2</v>
      </c>
      <c r="Q40" s="61">
        <f t="shared" ref="Q40:Q41" si="20">(N40-I40)/(L40/2)</f>
        <v>7.1428571428571432</v>
      </c>
    </row>
    <row r="41" spans="1:17" x14ac:dyDescent="0.25">
      <c r="H41" t="s">
        <v>58</v>
      </c>
      <c r="I41" s="58">
        <v>19</v>
      </c>
      <c r="J41" s="58"/>
      <c r="K41" s="58"/>
      <c r="L41" s="58">
        <v>4.08</v>
      </c>
      <c r="M41" s="58">
        <v>45</v>
      </c>
      <c r="N41" s="58">
        <v>35.700000000000003</v>
      </c>
      <c r="O41" s="59">
        <f t="shared" si="19"/>
        <v>4.5588235294117636</v>
      </c>
      <c r="P41" s="60">
        <f>0.0025/(O41*0.0064)</f>
        <v>8.5685483870967763E-2</v>
      </c>
      <c r="Q41" s="61">
        <f t="shared" si="20"/>
        <v>8.1862745098039227</v>
      </c>
    </row>
    <row r="42" spans="1:17" x14ac:dyDescent="0.25">
      <c r="H42" s="94" t="s">
        <v>57</v>
      </c>
      <c r="I42" s="94">
        <v>19</v>
      </c>
      <c r="J42" s="94"/>
      <c r="K42" s="94">
        <v>1</v>
      </c>
      <c r="L42" s="94">
        <v>4.08</v>
      </c>
      <c r="M42" s="94">
        <v>45</v>
      </c>
      <c r="N42" s="94">
        <v>37</v>
      </c>
      <c r="O42" s="95">
        <f t="shared" ref="O42" si="21">(M42-N42)/(L42/2)</f>
        <v>3.9215686274509802</v>
      </c>
      <c r="P42" s="96">
        <f>(0.001)/(O42*0.0064)</f>
        <v>3.9843750000000004E-2</v>
      </c>
      <c r="Q42" s="97">
        <f t="shared" ref="Q42" si="22">(N42-I42)/(L42/2)</f>
        <v>8.8235294117647065</v>
      </c>
    </row>
    <row r="43" spans="1:17" x14ac:dyDescent="0.25">
      <c r="H43" s="82"/>
      <c r="I43" s="82"/>
      <c r="J43" s="82"/>
      <c r="K43" s="82"/>
      <c r="L43" s="82"/>
      <c r="M43" s="98"/>
      <c r="N43" s="82"/>
      <c r="O43" s="89"/>
      <c r="P43" s="99"/>
      <c r="Q43" s="92"/>
    </row>
    <row r="44" spans="1:17" x14ac:dyDescent="0.25">
      <c r="H44" s="82"/>
      <c r="I44" s="82"/>
      <c r="J44" s="82"/>
      <c r="K44" s="82"/>
      <c r="L44" s="82"/>
      <c r="M44" s="98"/>
      <c r="N44" s="82"/>
      <c r="O44" s="89"/>
      <c r="P44" s="99"/>
      <c r="Q44" s="92"/>
    </row>
    <row r="51" spans="1:5" x14ac:dyDescent="0.25">
      <c r="A51" s="79" t="s">
        <v>96</v>
      </c>
      <c r="B51" s="4" t="s">
        <v>48</v>
      </c>
      <c r="C51" s="4" t="s">
        <v>47</v>
      </c>
      <c r="D51" s="4" t="s">
        <v>49</v>
      </c>
      <c r="E51" s="73" t="s">
        <v>68</v>
      </c>
    </row>
    <row r="52" spans="1:5" x14ac:dyDescent="0.25">
      <c r="A52" s="4" t="s">
        <v>46</v>
      </c>
      <c r="B52" s="4" t="s">
        <v>55</v>
      </c>
      <c r="C52" s="4">
        <v>300</v>
      </c>
      <c r="D52" s="76">
        <f>C52/$C$57</f>
        <v>0.12</v>
      </c>
      <c r="E52" s="75">
        <f>C52/24</f>
        <v>12.5</v>
      </c>
    </row>
    <row r="53" spans="1:5" ht="15.75" customHeight="1" x14ac:dyDescent="0.25">
      <c r="A53" s="62" t="s">
        <v>50</v>
      </c>
      <c r="B53" s="4"/>
      <c r="C53" s="4">
        <v>200</v>
      </c>
      <c r="D53" s="76">
        <f t="shared" ref="D53:D55" si="23">C53/$C$57</f>
        <v>0.08</v>
      </c>
      <c r="E53" s="75">
        <f t="shared" ref="E53:E55" si="24">C53/24</f>
        <v>8.3333333333333339</v>
      </c>
    </row>
    <row r="54" spans="1:5" x14ac:dyDescent="0.25">
      <c r="A54" s="4" t="s">
        <v>51</v>
      </c>
      <c r="B54" s="4" t="s">
        <v>54</v>
      </c>
      <c r="C54" s="4">
        <v>400</v>
      </c>
      <c r="D54" s="76">
        <f t="shared" si="23"/>
        <v>0.16</v>
      </c>
      <c r="E54" s="75">
        <f t="shared" si="24"/>
        <v>16.666666666666668</v>
      </c>
    </row>
    <row r="55" spans="1:5" x14ac:dyDescent="0.25">
      <c r="A55" s="4" t="s">
        <v>52</v>
      </c>
      <c r="B55" s="4"/>
      <c r="C55" s="4">
        <v>1600</v>
      </c>
      <c r="D55" s="76">
        <f t="shared" si="23"/>
        <v>0.64</v>
      </c>
      <c r="E55" s="75">
        <f t="shared" si="24"/>
        <v>66.666666666666671</v>
      </c>
    </row>
    <row r="56" spans="1:5" x14ac:dyDescent="0.25">
      <c r="A56" s="18"/>
      <c r="B56" s="18"/>
      <c r="C56" s="18"/>
      <c r="D56" s="18"/>
      <c r="E56" s="18"/>
    </row>
    <row r="57" spans="1:5" x14ac:dyDescent="0.25">
      <c r="A57" s="18" t="s">
        <v>53</v>
      </c>
      <c r="B57" s="18"/>
      <c r="C57" s="18">
        <f>SUM(C52:C56)</f>
        <v>2500</v>
      </c>
      <c r="D57" s="18"/>
      <c r="E57" s="18">
        <f>SUM(E52:E55)</f>
        <v>104.16666666666667</v>
      </c>
    </row>
    <row r="60" spans="1:5" x14ac:dyDescent="0.25">
      <c r="A60" s="18" t="s">
        <v>66</v>
      </c>
      <c r="B60" s="18" t="s">
        <v>67</v>
      </c>
      <c r="C60" s="18" t="s">
        <v>67</v>
      </c>
    </row>
    <row r="61" spans="1:5" x14ac:dyDescent="0.25">
      <c r="A61" s="18">
        <v>-10</v>
      </c>
      <c r="B61" s="18">
        <v>25</v>
      </c>
      <c r="C61" s="18">
        <f>B61*0.0064/0.5</f>
        <v>0.32</v>
      </c>
    </row>
    <row r="62" spans="1:5" x14ac:dyDescent="0.25">
      <c r="A62" s="18">
        <v>-5</v>
      </c>
      <c r="B62" s="18">
        <v>20</v>
      </c>
      <c r="C62" s="18">
        <f t="shared" ref="C62:C68" si="25">B62*0.0064/0.5</f>
        <v>0.25600000000000001</v>
      </c>
    </row>
    <row r="63" spans="1:5" x14ac:dyDescent="0.25">
      <c r="A63" s="18">
        <v>0</v>
      </c>
      <c r="B63" s="18">
        <v>16</v>
      </c>
      <c r="C63" s="18">
        <f t="shared" si="25"/>
        <v>0.20480000000000001</v>
      </c>
    </row>
    <row r="64" spans="1:5" x14ac:dyDescent="0.25">
      <c r="A64" s="18">
        <v>5</v>
      </c>
      <c r="B64" s="18">
        <v>14</v>
      </c>
      <c r="C64" s="18">
        <f t="shared" si="25"/>
        <v>0.1792</v>
      </c>
    </row>
    <row r="65" spans="1:4" x14ac:dyDescent="0.25">
      <c r="A65" s="18">
        <v>10</v>
      </c>
      <c r="B65" s="18">
        <v>9</v>
      </c>
      <c r="C65" s="18">
        <f t="shared" si="25"/>
        <v>0.11520000000000001</v>
      </c>
    </row>
    <row r="66" spans="1:4" x14ac:dyDescent="0.25">
      <c r="A66" s="18">
        <v>12</v>
      </c>
      <c r="B66" s="18">
        <v>7</v>
      </c>
      <c r="C66" s="18">
        <f t="shared" si="25"/>
        <v>8.9599999999999999E-2</v>
      </c>
    </row>
    <row r="67" spans="1:4" x14ac:dyDescent="0.25">
      <c r="A67" s="18">
        <v>16</v>
      </c>
      <c r="B67" s="18">
        <v>3.7</v>
      </c>
      <c r="C67" s="18">
        <f t="shared" si="25"/>
        <v>4.7360000000000006E-2</v>
      </c>
    </row>
    <row r="68" spans="1:4" x14ac:dyDescent="0.25">
      <c r="A68" s="18">
        <v>31</v>
      </c>
      <c r="B68" s="18">
        <v>0</v>
      </c>
      <c r="C68" s="18">
        <f t="shared" si="25"/>
        <v>0</v>
      </c>
    </row>
    <row r="74" spans="1:4" ht="15.75" thickBot="1" x14ac:dyDescent="0.3">
      <c r="A74" s="78" t="s">
        <v>92</v>
      </c>
      <c r="B74" t="s">
        <v>95</v>
      </c>
      <c r="C74" t="s">
        <v>94</v>
      </c>
      <c r="D74" t="s">
        <v>93</v>
      </c>
    </row>
    <row r="75" spans="1:4" ht="15.75" thickBot="1" x14ac:dyDescent="0.3">
      <c r="A75" s="63" t="s">
        <v>60</v>
      </c>
      <c r="B75" s="64">
        <v>8.75</v>
      </c>
      <c r="C75" s="67">
        <v>6.7000000000000004E-2</v>
      </c>
      <c r="D75" s="70">
        <f>B75/(C75*0.5*1000)</f>
        <v>0.26119402985074625</v>
      </c>
    </row>
    <row r="76" spans="1:4" ht="15.75" thickBot="1" x14ac:dyDescent="0.3">
      <c r="A76" s="65" t="s">
        <v>61</v>
      </c>
      <c r="B76" s="66">
        <v>5</v>
      </c>
      <c r="C76" s="68">
        <v>6.4000000000000001E-2</v>
      </c>
      <c r="D76" s="70">
        <f t="shared" ref="D76:D79" si="26">B76/(C76*0.5*1000)</f>
        <v>0.15625</v>
      </c>
    </row>
    <row r="77" spans="1:4" ht="15.75" thickBot="1" x14ac:dyDescent="0.3">
      <c r="A77" s="65" t="s">
        <v>62</v>
      </c>
      <c r="B77" s="66">
        <v>5</v>
      </c>
      <c r="C77" s="69">
        <v>0.06</v>
      </c>
      <c r="D77" s="70">
        <f t="shared" si="26"/>
        <v>0.16666666666666666</v>
      </c>
    </row>
    <row r="78" spans="1:4" ht="15.75" thickBot="1" x14ac:dyDescent="0.3">
      <c r="A78" s="65" t="s">
        <v>63</v>
      </c>
      <c r="B78" s="66">
        <v>0.75</v>
      </c>
      <c r="C78" s="69">
        <v>1.2E-2</v>
      </c>
      <c r="D78" s="70">
        <f t="shared" si="26"/>
        <v>0.125</v>
      </c>
    </row>
    <row r="79" spans="1:4" ht="15.75" thickBot="1" x14ac:dyDescent="0.3">
      <c r="A79" s="65" t="s">
        <v>64</v>
      </c>
      <c r="B79" s="66">
        <v>0.5</v>
      </c>
      <c r="C79" s="68">
        <v>2.1000000000000001E-2</v>
      </c>
      <c r="D79" s="70">
        <f t="shared" si="26"/>
        <v>4.7619047619047616E-2</v>
      </c>
    </row>
    <row r="81" spans="1:16" x14ac:dyDescent="0.25">
      <c r="A81" s="80"/>
      <c r="B81" s="80"/>
      <c r="C81" s="80"/>
      <c r="D81" s="80"/>
      <c r="E81" s="80"/>
    </row>
    <row r="82" spans="1:16" x14ac:dyDescent="0.25">
      <c r="A82" s="80"/>
      <c r="B82" s="80"/>
      <c r="C82" s="80"/>
      <c r="D82" s="80"/>
      <c r="E82" s="80"/>
    </row>
    <row r="83" spans="1:16" x14ac:dyDescent="0.25">
      <c r="A83" s="80"/>
      <c r="B83" s="80"/>
      <c r="C83" s="80"/>
      <c r="D83" s="80"/>
      <c r="E83" s="80"/>
      <c r="H83" t="s">
        <v>76</v>
      </c>
      <c r="I83">
        <v>1</v>
      </c>
    </row>
    <row r="84" spans="1:16" x14ac:dyDescent="0.25">
      <c r="A84" s="80"/>
      <c r="B84" s="80"/>
      <c r="C84" s="80"/>
      <c r="D84" s="80"/>
      <c r="E84" s="80"/>
      <c r="H84" t="s">
        <v>77</v>
      </c>
      <c r="I84">
        <v>0.8</v>
      </c>
    </row>
    <row r="85" spans="1:16" x14ac:dyDescent="0.25">
      <c r="A85" s="80"/>
      <c r="B85" s="80"/>
      <c r="C85" s="80"/>
      <c r="D85" s="80"/>
      <c r="E85" s="80"/>
      <c r="H85" t="s">
        <v>75</v>
      </c>
      <c r="I85">
        <f>13/(30+271)</f>
        <v>4.3189368770764118E-2</v>
      </c>
    </row>
    <row r="86" spans="1:16" x14ac:dyDescent="0.25">
      <c r="A86" s="80"/>
      <c r="B86" s="83" t="s">
        <v>98</v>
      </c>
      <c r="C86" s="80"/>
      <c r="D86" s="80"/>
      <c r="E86" s="80"/>
      <c r="H86" t="s">
        <v>65</v>
      </c>
      <c r="I86">
        <v>1</v>
      </c>
    </row>
    <row r="87" spans="1:16" x14ac:dyDescent="0.25">
      <c r="B87" s="18">
        <v>12715</v>
      </c>
      <c r="C87" s="18" t="s">
        <v>74</v>
      </c>
      <c r="D87" s="18"/>
      <c r="E87" s="18"/>
      <c r="F87" s="18" t="s">
        <v>79</v>
      </c>
      <c r="G87" s="18">
        <v>19</v>
      </c>
      <c r="H87" s="18" t="s">
        <v>73</v>
      </c>
      <c r="I87" s="18" t="s">
        <v>73</v>
      </c>
      <c r="J87" s="18" t="s">
        <v>73</v>
      </c>
      <c r="K87" s="18" t="s">
        <v>97</v>
      </c>
      <c r="L87" s="18"/>
      <c r="M87" s="71"/>
      <c r="N87" s="18"/>
      <c r="O87" s="18"/>
      <c r="P87" s="18"/>
    </row>
    <row r="88" spans="1:16" x14ac:dyDescent="0.25">
      <c r="B88" s="18" t="s">
        <v>18</v>
      </c>
      <c r="C88" s="18" t="s">
        <v>19</v>
      </c>
      <c r="D88" s="18" t="s">
        <v>68</v>
      </c>
      <c r="E88" s="18" t="s">
        <v>70</v>
      </c>
      <c r="F88" s="71" t="s">
        <v>71</v>
      </c>
      <c r="G88" s="18" t="s">
        <v>69</v>
      </c>
      <c r="H88" s="71" t="s">
        <v>72</v>
      </c>
      <c r="I88" s="71" t="s">
        <v>78</v>
      </c>
      <c r="J88" s="71" t="s">
        <v>80</v>
      </c>
      <c r="K88" s="71" t="s">
        <v>81</v>
      </c>
      <c r="L88" s="71" t="s">
        <v>76</v>
      </c>
      <c r="M88" s="71" t="s">
        <v>82</v>
      </c>
      <c r="N88" s="71" t="s">
        <v>83</v>
      </c>
      <c r="O88" s="71" t="s">
        <v>72</v>
      </c>
      <c r="P88" s="71" t="s">
        <v>65</v>
      </c>
    </row>
    <row r="89" spans="1:16" x14ac:dyDescent="0.25">
      <c r="B89" s="4">
        <v>0.5</v>
      </c>
      <c r="C89" s="4">
        <v>0.6</v>
      </c>
      <c r="D89" s="4">
        <f>C89*B89</f>
        <v>0.3</v>
      </c>
      <c r="E89" s="4">
        <v>16</v>
      </c>
      <c r="F89" s="4">
        <v>19.2</v>
      </c>
      <c r="G89" s="4">
        <f>F89-E89</f>
        <v>3.1999999999999993</v>
      </c>
      <c r="H89" s="72">
        <f>$I$86*B89+$I$85*G89</f>
        <v>0.63820598006644513</v>
      </c>
      <c r="I89" s="74">
        <f>$G$87+D89*$I$84</f>
        <v>19.239999999999998</v>
      </c>
      <c r="J89" s="74">
        <f>$G$87+($I$84+($I$83/2))*$I$86*B89^2-271*$I$85*$I$83*B89</f>
        <v>13.472840531561461</v>
      </c>
      <c r="K89" s="75">
        <f>-($I$85*(E89+271)*B89)+($I$86*B89^2/2)</f>
        <v>-6.0726744186046506</v>
      </c>
      <c r="L89" s="70">
        <f>-G89/K89</f>
        <v>0.52695069411201523</v>
      </c>
      <c r="M89" s="75">
        <f>D89-K89</f>
        <v>6.3726744186046504</v>
      </c>
      <c r="N89" s="18">
        <f>(I89-J89)/K89</f>
        <v>-0.94969021404636522</v>
      </c>
      <c r="O89" s="75">
        <f>B89*$I$86+(I89-J89)*$I$85</f>
        <v>0.74907997704219598</v>
      </c>
      <c r="P89" s="18">
        <f>(C89-$I$85*(I89-J89))/B89</f>
        <v>0.701840045915608</v>
      </c>
    </row>
    <row r="90" spans="1:16" x14ac:dyDescent="0.25">
      <c r="B90" s="4">
        <v>1</v>
      </c>
      <c r="C90" s="4">
        <v>1.3</v>
      </c>
      <c r="D90" s="4">
        <f t="shared" ref="D90:D94" si="27">C90*B90</f>
        <v>1.3</v>
      </c>
      <c r="E90" s="4">
        <v>11.5</v>
      </c>
      <c r="F90" s="73">
        <v>20</v>
      </c>
      <c r="G90" s="4">
        <f t="shared" ref="G90:G96" si="28">F90-E90</f>
        <v>8.5</v>
      </c>
      <c r="H90" s="72">
        <f t="shared" ref="H90:H96" si="29">$I$86*B90+$I$85*G90</f>
        <v>1.367109634551495</v>
      </c>
      <c r="I90" s="74">
        <f t="shared" ref="I90:I96" si="30">$G$87+D90*$I$84</f>
        <v>20.04</v>
      </c>
      <c r="J90" s="74">
        <f t="shared" ref="J90:J96" si="31">$G$87+($I$84+($I$83/2))*$I$86*B90^2-271*$I$85*$I$83*B90</f>
        <v>8.5956810631229246</v>
      </c>
      <c r="K90" s="75">
        <f t="shared" ref="K90:K96" si="32">-($I$85*(E90+271)*B90)+($I$86*B90^2/2)</f>
        <v>-11.700996677740862</v>
      </c>
      <c r="L90" s="70">
        <f t="shared" ref="L90:L96" si="33">-G90/K90</f>
        <v>0.7264338444065872</v>
      </c>
      <c r="M90" s="75">
        <f t="shared" ref="M90:M96" si="34">D90-K90</f>
        <v>13.000996677740863</v>
      </c>
      <c r="N90" s="18">
        <f t="shared" ref="N90:N96" si="35">(I90-J90)/K90</f>
        <v>-0.97806360022714367</v>
      </c>
      <c r="O90" s="75">
        <f t="shared" ref="O90:O96" si="36">B90*$I$86+(I90-J90)*$I$85</f>
        <v>1.494272910895023</v>
      </c>
      <c r="P90" s="18">
        <f t="shared" ref="P90:P96" si="37">(C90-$I$85*(I90-J90))/B90</f>
        <v>0.80572708910497692</v>
      </c>
    </row>
    <row r="91" spans="1:16" x14ac:dyDescent="0.25">
      <c r="B91" s="4">
        <v>2</v>
      </c>
      <c r="C91" s="4">
        <v>2.5</v>
      </c>
      <c r="D91" s="4">
        <f t="shared" si="27"/>
        <v>5</v>
      </c>
      <c r="E91" s="4">
        <v>5.4</v>
      </c>
      <c r="F91" s="73">
        <v>22</v>
      </c>
      <c r="G91" s="4">
        <f t="shared" si="28"/>
        <v>16.600000000000001</v>
      </c>
      <c r="H91" s="72">
        <f t="shared" si="29"/>
        <v>2.7169435215946844</v>
      </c>
      <c r="I91" s="74">
        <f t="shared" si="30"/>
        <v>23</v>
      </c>
      <c r="J91" s="74">
        <f t="shared" si="31"/>
        <v>0.79136212624584701</v>
      </c>
      <c r="K91" s="75">
        <f t="shared" si="32"/>
        <v>-21.875083056478402</v>
      </c>
      <c r="L91" s="70">
        <f t="shared" si="33"/>
        <v>0.75885426158799607</v>
      </c>
      <c r="M91" s="75">
        <f t="shared" si="34"/>
        <v>26.875083056478402</v>
      </c>
      <c r="N91" s="18">
        <f t="shared" si="35"/>
        <v>-1.0152481623230667</v>
      </c>
      <c r="O91" s="75">
        <f t="shared" si="36"/>
        <v>2.959177051025927</v>
      </c>
      <c r="P91" s="18">
        <f t="shared" si="37"/>
        <v>0.77041147448703651</v>
      </c>
    </row>
    <row r="92" spans="1:16" x14ac:dyDescent="0.25">
      <c r="B92" s="4">
        <v>3</v>
      </c>
      <c r="C92" s="4">
        <v>3.7</v>
      </c>
      <c r="D92" s="4">
        <f t="shared" si="27"/>
        <v>11.100000000000001</v>
      </c>
      <c r="E92" s="4">
        <v>0</v>
      </c>
      <c r="F92" s="73">
        <v>23</v>
      </c>
      <c r="G92" s="4">
        <f t="shared" si="28"/>
        <v>23</v>
      </c>
      <c r="H92" s="72">
        <f t="shared" si="29"/>
        <v>3.9933554817275745</v>
      </c>
      <c r="I92" s="74">
        <f t="shared" si="30"/>
        <v>27.880000000000003</v>
      </c>
      <c r="J92" s="74">
        <f t="shared" si="31"/>
        <v>-4.4129568106312291</v>
      </c>
      <c r="K92" s="75">
        <f t="shared" si="32"/>
        <v>-30.612956810631232</v>
      </c>
      <c r="L92" s="70">
        <f t="shared" si="33"/>
        <v>0.75131586087145252</v>
      </c>
      <c r="M92" s="75">
        <f t="shared" si="34"/>
        <v>41.712956810631233</v>
      </c>
      <c r="N92" s="18">
        <f t="shared" si="35"/>
        <v>-1.0548787237506105</v>
      </c>
      <c r="O92" s="75">
        <f t="shared" si="36"/>
        <v>4.394712420392711</v>
      </c>
      <c r="P92" s="18">
        <f t="shared" si="37"/>
        <v>0.76842919320242975</v>
      </c>
    </row>
    <row r="93" spans="1:16" x14ac:dyDescent="0.25">
      <c r="B93" s="4">
        <v>4</v>
      </c>
      <c r="C93" s="4">
        <v>5</v>
      </c>
      <c r="D93" s="4">
        <f t="shared" si="27"/>
        <v>20</v>
      </c>
      <c r="E93" s="4">
        <v>-2.7</v>
      </c>
      <c r="F93" s="73">
        <v>25</v>
      </c>
      <c r="G93" s="4">
        <f t="shared" si="28"/>
        <v>27.7</v>
      </c>
      <c r="H93" s="72">
        <f t="shared" si="29"/>
        <v>5.1963455149501661</v>
      </c>
      <c r="I93" s="74">
        <f t="shared" si="30"/>
        <v>35</v>
      </c>
      <c r="J93" s="74">
        <f t="shared" si="31"/>
        <v>-7.0172757475083074</v>
      </c>
      <c r="K93" s="75">
        <f t="shared" si="32"/>
        <v>-38.350830564784054</v>
      </c>
      <c r="L93" s="70">
        <f t="shared" si="33"/>
        <v>0.72227901174676878</v>
      </c>
      <c r="M93" s="75">
        <f t="shared" si="34"/>
        <v>58.350830564784054</v>
      </c>
      <c r="N93" s="18">
        <f t="shared" si="35"/>
        <v>-1.0956027582383312</v>
      </c>
      <c r="O93" s="75">
        <f t="shared" si="36"/>
        <v>5.8146996170020202</v>
      </c>
      <c r="P93" s="18">
        <f t="shared" si="37"/>
        <v>0.79632509574949506</v>
      </c>
    </row>
    <row r="94" spans="1:16" x14ac:dyDescent="0.25">
      <c r="B94" s="73">
        <v>5</v>
      </c>
      <c r="C94" s="4">
        <v>6.7</v>
      </c>
      <c r="D94" s="4">
        <f t="shared" si="27"/>
        <v>33.5</v>
      </c>
      <c r="E94" s="4">
        <v>-3</v>
      </c>
      <c r="F94" s="4">
        <v>34</v>
      </c>
      <c r="G94" s="4">
        <f t="shared" si="28"/>
        <v>37</v>
      </c>
      <c r="H94" s="72">
        <f t="shared" si="29"/>
        <v>6.5980066445182723</v>
      </c>
      <c r="I94" s="74">
        <f>$G$87+D94*$I$84</f>
        <v>45.8</v>
      </c>
      <c r="J94" s="74">
        <f t="shared" si="31"/>
        <v>-7.0215946843853771</v>
      </c>
      <c r="K94" s="75">
        <f t="shared" si="32"/>
        <v>-45.373754152823913</v>
      </c>
      <c r="L94" s="70">
        <f t="shared" si="33"/>
        <v>0.81544938678381851</v>
      </c>
      <c r="M94" s="75">
        <f t="shared" si="34"/>
        <v>78.873754152823921</v>
      </c>
      <c r="N94" s="18">
        <f t="shared" si="35"/>
        <v>-1.1641442430898774</v>
      </c>
      <c r="O94" s="75">
        <f t="shared" si="36"/>
        <v>7.281331331883754</v>
      </c>
      <c r="P94" s="18">
        <f t="shared" si="37"/>
        <v>0.88373373362324936</v>
      </c>
    </row>
    <row r="95" spans="1:16" x14ac:dyDescent="0.25">
      <c r="B95" s="73">
        <v>6</v>
      </c>
      <c r="C95" s="4">
        <v>8.5</v>
      </c>
      <c r="D95" s="4">
        <f t="shared" ref="D95:D96" si="38">C95*B95</f>
        <v>51</v>
      </c>
      <c r="E95" s="4">
        <v>-1.3</v>
      </c>
      <c r="F95" s="4">
        <v>43</v>
      </c>
      <c r="G95" s="4">
        <f t="shared" si="28"/>
        <v>44.3</v>
      </c>
      <c r="H95" s="72">
        <f t="shared" si="29"/>
        <v>7.9132890365448505</v>
      </c>
      <c r="I95" s="74">
        <f t="shared" si="30"/>
        <v>59.800000000000004</v>
      </c>
      <c r="J95" s="74">
        <f t="shared" si="31"/>
        <v>-4.4259136212624526</v>
      </c>
      <c r="K95" s="75">
        <f t="shared" si="32"/>
        <v>-51.889036544850498</v>
      </c>
      <c r="L95" s="70">
        <f t="shared" si="33"/>
        <v>0.85374489390854491</v>
      </c>
      <c r="M95" s="75">
        <f t="shared" si="34"/>
        <v>102.8890365448505</v>
      </c>
      <c r="N95" s="18">
        <f t="shared" si="35"/>
        <v>-1.2377549844416273</v>
      </c>
      <c r="O95" s="75">
        <f t="shared" si="36"/>
        <v>8.7738766680279472</v>
      </c>
      <c r="P95" s="18">
        <f t="shared" si="37"/>
        <v>0.95435388866200876</v>
      </c>
    </row>
    <row r="96" spans="1:16" x14ac:dyDescent="0.25">
      <c r="B96" s="73">
        <v>7.8</v>
      </c>
      <c r="C96" s="73">
        <v>11.6</v>
      </c>
      <c r="D96" s="4">
        <f t="shared" si="38"/>
        <v>90.47999999999999</v>
      </c>
      <c r="E96" s="73">
        <v>7</v>
      </c>
      <c r="F96" s="73">
        <v>70</v>
      </c>
      <c r="G96" s="4">
        <f t="shared" si="28"/>
        <v>63</v>
      </c>
      <c r="H96" s="72">
        <f t="shared" si="29"/>
        <v>10.52093023255814</v>
      </c>
      <c r="I96" s="74">
        <f t="shared" si="30"/>
        <v>91.384</v>
      </c>
      <c r="J96" s="74">
        <f t="shared" si="31"/>
        <v>6.7983122923588013</v>
      </c>
      <c r="K96" s="75">
        <f t="shared" si="32"/>
        <v>-63.231827242524915</v>
      </c>
      <c r="L96" s="70">
        <f t="shared" si="33"/>
        <v>0.99633369376412695</v>
      </c>
      <c r="M96" s="75">
        <f t="shared" si="34"/>
        <v>153.71182724252492</v>
      </c>
      <c r="N96" s="18">
        <f t="shared" si="35"/>
        <v>-1.3377074710052868</v>
      </c>
      <c r="O96" s="75">
        <f t="shared" si="36"/>
        <v>11.453202459134005</v>
      </c>
      <c r="P96" s="18">
        <f t="shared" si="37"/>
        <v>1.0188201975469222</v>
      </c>
    </row>
    <row r="97" spans="1:10" s="80" customFormat="1" x14ac:dyDescent="0.25">
      <c r="I97" s="81"/>
    </row>
    <row r="98" spans="1:10" s="80" customFormat="1" x14ac:dyDescent="0.25">
      <c r="I98" s="81"/>
    </row>
    <row r="99" spans="1:10" s="80" customFormat="1" x14ac:dyDescent="0.25">
      <c r="F99" s="82"/>
      <c r="H99" s="82"/>
      <c r="I99" s="82"/>
      <c r="J99" s="82"/>
    </row>
    <row r="100" spans="1:10" s="80" customFormat="1" x14ac:dyDescent="0.25">
      <c r="H100" s="81"/>
    </row>
    <row r="101" spans="1:10" s="80" customFormat="1" x14ac:dyDescent="0.25">
      <c r="F101" s="82"/>
      <c r="H101" s="81"/>
    </row>
    <row r="102" spans="1:10" s="80" customFormat="1" x14ac:dyDescent="0.25">
      <c r="F102" s="82"/>
      <c r="H102" s="81"/>
    </row>
    <row r="103" spans="1:10" s="80" customFormat="1" x14ac:dyDescent="0.25">
      <c r="F103" s="82"/>
      <c r="H103" s="81"/>
    </row>
    <row r="104" spans="1:10" s="80" customFormat="1" x14ac:dyDescent="0.25"/>
    <row r="105" spans="1:10" s="80" customFormat="1" x14ac:dyDescent="0.25"/>
    <row r="106" spans="1:10" x14ac:dyDescent="0.25">
      <c r="A106" s="80"/>
      <c r="B106" s="80"/>
      <c r="C106" s="80"/>
      <c r="D106" s="80"/>
      <c r="E106" s="80"/>
      <c r="F106" s="80"/>
      <c r="G106" s="80"/>
      <c r="H106" s="80"/>
    </row>
    <row r="107" spans="1:10" x14ac:dyDescent="0.25">
      <c r="A107" s="80"/>
      <c r="B107" s="80"/>
      <c r="C107" s="80"/>
      <c r="D107" s="80"/>
      <c r="E107" s="82"/>
      <c r="F107" s="82"/>
      <c r="G107" s="82"/>
      <c r="H107" s="80"/>
    </row>
    <row r="108" spans="1:10" x14ac:dyDescent="0.25">
      <c r="A108" s="80"/>
      <c r="B108" s="80"/>
      <c r="C108" s="80"/>
      <c r="D108" s="80"/>
      <c r="E108" s="80"/>
      <c r="F108" s="80"/>
      <c r="G108" s="80"/>
      <c r="H108" s="80"/>
    </row>
    <row r="109" spans="1:10" x14ac:dyDescent="0.25">
      <c r="A109" s="80"/>
      <c r="B109" s="80"/>
      <c r="C109" s="80"/>
      <c r="D109" s="80"/>
      <c r="E109" s="80"/>
      <c r="F109" s="80"/>
      <c r="G109" s="80"/>
      <c r="H109" s="80"/>
    </row>
    <row r="110" spans="1:10" x14ac:dyDescent="0.25">
      <c r="A110" s="80"/>
      <c r="B110" s="80"/>
      <c r="C110" s="80"/>
      <c r="D110" s="80"/>
      <c r="E110" s="80"/>
      <c r="F110" s="80"/>
      <c r="G110" s="80"/>
      <c r="H110" s="80"/>
    </row>
    <row r="111" spans="1:10" x14ac:dyDescent="0.25">
      <c r="A111" s="80"/>
      <c r="B111" s="80"/>
      <c r="C111" s="80"/>
      <c r="D111" s="80"/>
      <c r="E111" s="80"/>
      <c r="F111" s="80"/>
      <c r="G111" s="80"/>
      <c r="H111" s="80"/>
    </row>
    <row r="112" spans="1:10" x14ac:dyDescent="0.25">
      <c r="A112" s="80"/>
      <c r="B112" s="80"/>
      <c r="C112" s="80"/>
      <c r="D112" s="80"/>
      <c r="E112" s="80"/>
      <c r="F112" s="80"/>
      <c r="G112" s="80"/>
      <c r="H112" s="80"/>
    </row>
    <row r="113" spans="1:8" x14ac:dyDescent="0.25">
      <c r="A113" s="80"/>
      <c r="B113" s="80"/>
      <c r="C113" s="80"/>
      <c r="D113" s="80"/>
      <c r="E113" s="80"/>
      <c r="F113" s="80"/>
      <c r="G113" s="80"/>
      <c r="H113" s="80"/>
    </row>
    <row r="114" spans="1:8" x14ac:dyDescent="0.25">
      <c r="A114" s="80"/>
      <c r="B114" s="80"/>
      <c r="C114" s="80"/>
      <c r="D114" s="80"/>
      <c r="E114" s="80"/>
      <c r="F114" s="80"/>
      <c r="G114" s="80"/>
      <c r="H114" s="80"/>
    </row>
    <row r="115" spans="1:8" x14ac:dyDescent="0.25">
      <c r="A115" s="80"/>
      <c r="B115" s="80"/>
      <c r="C115" s="80"/>
      <c r="D115" s="80"/>
      <c r="E115" s="80"/>
      <c r="F115" s="80"/>
      <c r="G115" s="80"/>
      <c r="H115" s="80"/>
    </row>
    <row r="116" spans="1:8" x14ac:dyDescent="0.25">
      <c r="A116" s="80"/>
      <c r="B116" s="80"/>
      <c r="C116" s="80"/>
      <c r="D116" s="80"/>
      <c r="E116" s="80"/>
      <c r="F116" s="80"/>
      <c r="G116" s="80"/>
      <c r="H116" s="8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geii</dc:creator>
  <cp:lastModifiedBy>geii</cp:lastModifiedBy>
  <dcterms:created xsi:type="dcterms:W3CDTF">2024-01-19T06:04:50Z</dcterms:created>
  <dcterms:modified xsi:type="dcterms:W3CDTF">2024-03-14T18:47:35Z</dcterms:modified>
</cp:coreProperties>
</file>