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440" windowHeight="8190" activeTab="1"/>
  </bookViews>
  <sheets>
    <sheet name="Tableau" sheetId="1" r:id="rId1"/>
    <sheet name="Courbes" sheetId="3" r:id="rId2"/>
  </sheets>
  <calcPr calcId="125725"/>
</workbook>
</file>

<file path=xl/calcChain.xml><?xml version="1.0" encoding="utf-8"?>
<calcChain xmlns="http://schemas.openxmlformats.org/spreadsheetml/2006/main">
  <c r="D5" i="1"/>
  <c r="L33" i="3"/>
  <c r="L34"/>
  <c r="L35"/>
  <c r="L36"/>
  <c r="L37"/>
  <c r="L38"/>
  <c r="L39"/>
  <c r="L32"/>
  <c r="C43" i="1"/>
  <c r="N5" i="3"/>
  <c r="N6"/>
  <c r="N7"/>
  <c r="N8"/>
  <c r="N9"/>
  <c r="N10"/>
  <c r="N11"/>
  <c r="N4"/>
  <c r="M5"/>
  <c r="M6"/>
  <c r="M7"/>
  <c r="M8"/>
  <c r="M9"/>
  <c r="M10"/>
  <c r="M11"/>
  <c r="M4"/>
  <c r="L5"/>
  <c r="L6"/>
  <c r="L7"/>
  <c r="L8"/>
  <c r="L9"/>
  <c r="L10"/>
  <c r="L11"/>
  <c r="L4"/>
  <c r="U45" i="1"/>
  <c r="R45"/>
  <c r="D45"/>
  <c r="N45" s="1"/>
  <c r="C45"/>
  <c r="U44"/>
  <c r="S44"/>
  <c r="R44"/>
  <c r="Q44"/>
  <c r="D44"/>
  <c r="N44" s="1"/>
  <c r="C44"/>
  <c r="U43"/>
  <c r="J43" s="1"/>
  <c r="S43"/>
  <c r="R43"/>
  <c r="Q43"/>
  <c r="D43"/>
  <c r="N43" s="1"/>
  <c r="V39"/>
  <c r="W39" s="1"/>
  <c r="W45" s="1"/>
  <c r="V38"/>
  <c r="W38" s="1"/>
  <c r="W44" s="1"/>
  <c r="V37"/>
  <c r="W37" s="1"/>
  <c r="W43" s="1"/>
  <c r="U32"/>
  <c r="S32"/>
  <c r="R32"/>
  <c r="D32"/>
  <c r="E32" s="1"/>
  <c r="F32" s="1"/>
  <c r="C32"/>
  <c r="U31"/>
  <c r="R31"/>
  <c r="D31"/>
  <c r="E31" s="1"/>
  <c r="F31" s="1"/>
  <c r="C31"/>
  <c r="U30"/>
  <c r="T30"/>
  <c r="R30"/>
  <c r="D30"/>
  <c r="E30" s="1"/>
  <c r="C30"/>
  <c r="V26"/>
  <c r="W26" s="1"/>
  <c r="W32" s="1"/>
  <c r="V25"/>
  <c r="W25" s="1"/>
  <c r="W31" s="1"/>
  <c r="V24"/>
  <c r="W24" s="1"/>
  <c r="W30" s="1"/>
  <c r="V13"/>
  <c r="W13" s="1"/>
  <c r="W19" s="1"/>
  <c r="V14"/>
  <c r="W14" s="1"/>
  <c r="W20" s="1"/>
  <c r="V12"/>
  <c r="W12" s="1"/>
  <c r="W18" s="1"/>
  <c r="H20"/>
  <c r="T5"/>
  <c r="H32" s="1"/>
  <c r="T4"/>
  <c r="H19" s="1"/>
  <c r="T3"/>
  <c r="H43" s="1"/>
  <c r="R19"/>
  <c r="R20"/>
  <c r="R18"/>
  <c r="Q19"/>
  <c r="U19"/>
  <c r="J19" s="1"/>
  <c r="U20"/>
  <c r="J20" s="1"/>
  <c r="S19"/>
  <c r="S18"/>
  <c r="T18" s="1"/>
  <c r="U18"/>
  <c r="J18" s="1"/>
  <c r="D19"/>
  <c r="N19" s="1"/>
  <c r="D20"/>
  <c r="D18"/>
  <c r="E18" s="1"/>
  <c r="F18" s="1"/>
  <c r="C19"/>
  <c r="C20"/>
  <c r="C18"/>
  <c r="H31" l="1"/>
  <c r="H45"/>
  <c r="T19"/>
  <c r="N18"/>
  <c r="M18" s="1"/>
  <c r="H18"/>
  <c r="H30"/>
  <c r="H44"/>
  <c r="L19"/>
  <c r="K19"/>
  <c r="K18"/>
  <c r="E19"/>
  <c r="F19" s="1"/>
  <c r="G19" s="1"/>
  <c r="L18"/>
  <c r="O19"/>
  <c r="P19" s="1"/>
  <c r="I19" s="1"/>
  <c r="O18"/>
  <c r="P18" s="1"/>
  <c r="I18" s="1"/>
  <c r="G18"/>
  <c r="J45"/>
  <c r="J44"/>
  <c r="E45"/>
  <c r="F45" s="1"/>
  <c r="E44"/>
  <c r="F44" s="1"/>
  <c r="E43"/>
  <c r="F43" s="1"/>
  <c r="J32"/>
  <c r="J31"/>
  <c r="J30"/>
  <c r="N31"/>
  <c r="K31" s="1"/>
  <c r="T32"/>
  <c r="T31"/>
  <c r="N32"/>
  <c r="K32" s="1"/>
  <c r="L45"/>
  <c r="M45"/>
  <c r="K43"/>
  <c r="K45"/>
  <c r="M43"/>
  <c r="L43"/>
  <c r="L44"/>
  <c r="M44"/>
  <c r="K44"/>
  <c r="T43"/>
  <c r="T44"/>
  <c r="T45"/>
  <c r="O31"/>
  <c r="P31" s="1"/>
  <c r="I31" s="1"/>
  <c r="G31"/>
  <c r="O32"/>
  <c r="P32" s="1"/>
  <c r="I32" s="1"/>
  <c r="G32"/>
  <c r="F30"/>
  <c r="N30"/>
  <c r="N20"/>
  <c r="E20"/>
  <c r="F20" s="1"/>
  <c r="M19"/>
  <c r="T20"/>
  <c r="V19" l="1"/>
  <c r="M20"/>
  <c r="K20"/>
  <c r="L20"/>
  <c r="V18"/>
  <c r="M32"/>
  <c r="L32"/>
  <c r="L31"/>
  <c r="M31"/>
  <c r="O45"/>
  <c r="P45" s="1"/>
  <c r="I45" s="1"/>
  <c r="G45"/>
  <c r="O43"/>
  <c r="P43" s="1"/>
  <c r="I43" s="1"/>
  <c r="G43"/>
  <c r="O44"/>
  <c r="P44" s="1"/>
  <c r="I44" s="1"/>
  <c r="G44"/>
  <c r="O30"/>
  <c r="P30" s="1"/>
  <c r="I30" s="1"/>
  <c r="G30"/>
  <c r="K30"/>
  <c r="M30"/>
  <c r="V32"/>
  <c r="L30"/>
  <c r="V31"/>
  <c r="G20"/>
  <c r="O20"/>
  <c r="P20" s="1"/>
  <c r="I20" s="1"/>
  <c r="V20" s="1"/>
  <c r="V45" l="1"/>
  <c r="V44"/>
  <c r="V30"/>
  <c r="V43"/>
</calcChain>
</file>

<file path=xl/sharedStrings.xml><?xml version="1.0" encoding="utf-8"?>
<sst xmlns="http://schemas.openxmlformats.org/spreadsheetml/2006/main" count="345" uniqueCount="100">
  <si>
    <t>N</t>
  </si>
  <si>
    <t>Ce</t>
  </si>
  <si>
    <t>Téch</t>
  </si>
  <si>
    <t>Rcible</t>
  </si>
  <si>
    <t>tconso</t>
  </si>
  <si>
    <t>tculasse</t>
  </si>
  <si>
    <t>Tinjréel</t>
  </si>
  <si>
    <t>AA</t>
  </si>
  <si>
    <t>Pcylmax</t>
  </si>
  <si>
    <t>CA50</t>
  </si>
  <si>
    <t>PMI</t>
  </si>
  <si>
    <t>CO</t>
  </si>
  <si>
    <t>HC</t>
  </si>
  <si>
    <t>Patmo</t>
  </si>
  <si>
    <t>T°air</t>
  </si>
  <si>
    <t xml:space="preserve">H </t>
  </si>
  <si>
    <t>mbars</t>
  </si>
  <si>
    <t>°c</t>
  </si>
  <si>
    <t>%</t>
  </si>
  <si>
    <t>tr/min</t>
  </si>
  <si>
    <t>N.m</t>
  </si>
  <si>
    <t>V</t>
  </si>
  <si>
    <t>s</t>
  </si>
  <si>
    <t>µs</t>
  </si>
  <si>
    <t>°vil</t>
  </si>
  <si>
    <t>bars</t>
  </si>
  <si>
    <t>ppm</t>
  </si>
  <si>
    <t>λana</t>
  </si>
  <si>
    <t>Uλ</t>
  </si>
  <si>
    <t>ε</t>
  </si>
  <si>
    <t>A</t>
  </si>
  <si>
    <t>mm</t>
  </si>
  <si>
    <t>C</t>
  </si>
  <si>
    <t>l</t>
  </si>
  <si>
    <t>PCIess</t>
  </si>
  <si>
    <t>J/g</t>
  </si>
  <si>
    <t>PCO</t>
  </si>
  <si>
    <t>PCIco</t>
  </si>
  <si>
    <t>PCIHC</t>
  </si>
  <si>
    <t>Y</t>
  </si>
  <si>
    <t>ρCO</t>
  </si>
  <si>
    <t>ρHC</t>
  </si>
  <si>
    <t>ρNOx</t>
  </si>
  <si>
    <t>ρéch</t>
  </si>
  <si>
    <t>IsoPcoll 1</t>
  </si>
  <si>
    <t>Vép</t>
  </si>
  <si>
    <t>γair</t>
  </si>
  <si>
    <r>
      <t>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</si>
  <si>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ρCO</t>
    </r>
    <r>
      <rPr>
        <vertAlign val="subscript"/>
        <sz val="11"/>
        <color theme="1"/>
        <rFont val="Calibri"/>
        <family val="2"/>
      </rPr>
      <t>2</t>
    </r>
  </si>
  <si>
    <r>
      <t>g/dm</t>
    </r>
    <r>
      <rPr>
        <vertAlign val="superscript"/>
        <sz val="11"/>
        <color theme="1"/>
        <rFont val="Calibri"/>
        <family val="2"/>
        <scheme val="minor"/>
      </rPr>
      <t>3</t>
    </r>
  </si>
  <si>
    <t>Qint</t>
  </si>
  <si>
    <t>Mc</t>
  </si>
  <si>
    <t>mg/cy.L</t>
  </si>
  <si>
    <t>Ql</t>
  </si>
  <si>
    <r>
      <t>Qchi</t>
    </r>
    <r>
      <rPr>
        <vertAlign val="subscript"/>
        <sz val="11"/>
        <color theme="1"/>
        <rFont val="Calibri"/>
        <family val="2"/>
        <scheme val="minor"/>
      </rPr>
      <t>éch</t>
    </r>
  </si>
  <si>
    <t>PMC</t>
  </si>
  <si>
    <t>PML</t>
  </si>
  <si>
    <t>PMth</t>
  </si>
  <si>
    <r>
      <t>PMI</t>
    </r>
    <r>
      <rPr>
        <vertAlign val="subscript"/>
        <sz val="11"/>
        <color theme="1"/>
        <rFont val="Calibri"/>
        <family val="2"/>
        <scheme val="minor"/>
      </rPr>
      <t>HP</t>
    </r>
  </si>
  <si>
    <r>
      <t>PMI</t>
    </r>
    <r>
      <rPr>
        <vertAlign val="subscript"/>
        <sz val="11"/>
        <color theme="1"/>
        <rFont val="Calibri"/>
        <family val="2"/>
        <scheme val="minor"/>
      </rPr>
      <t>BP</t>
    </r>
  </si>
  <si>
    <t>PME</t>
  </si>
  <si>
    <t>PMF</t>
  </si>
  <si>
    <t>ηc</t>
  </si>
  <si>
    <t>ηth</t>
  </si>
  <si>
    <t>ηf</t>
  </si>
  <si>
    <t>ηm</t>
  </si>
  <si>
    <t>ηi</t>
  </si>
  <si>
    <t>ηiHP</t>
  </si>
  <si>
    <t>ηe</t>
  </si>
  <si>
    <r>
      <t>O</t>
    </r>
    <r>
      <rPr>
        <vertAlign val="subscript"/>
        <sz val="11"/>
        <color theme="1"/>
        <rFont val="Calibri"/>
        <family val="2"/>
        <scheme val="minor"/>
      </rPr>
      <t>2</t>
    </r>
  </si>
  <si>
    <t>NOx</t>
  </si>
  <si>
    <t>jaune (PC)</t>
  </si>
  <si>
    <t>x</t>
  </si>
  <si>
    <t>n</t>
  </si>
  <si>
    <t>ρess</t>
  </si>
  <si>
    <t>J/cy</t>
  </si>
  <si>
    <t>ηe (x)</t>
  </si>
  <si>
    <t>pur</t>
  </si>
  <si>
    <t>mair</t>
  </si>
  <si>
    <t>mc</t>
  </si>
  <si>
    <t>mg/cy</t>
  </si>
  <si>
    <t>rouge (inter)</t>
  </si>
  <si>
    <t>IsoPcoll 2</t>
  </si>
  <si>
    <t>IsoPcoll 3</t>
  </si>
  <si>
    <t>blanc (faible)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</si>
  <si>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</si>
  <si>
    <t>Mcarb</t>
  </si>
  <si>
    <t>Jaune</t>
  </si>
  <si>
    <t>Rouge</t>
  </si>
  <si>
    <t>Blanc</t>
  </si>
  <si>
    <t>Rend Idéal</t>
  </si>
  <si>
    <t>PMI HP</t>
  </si>
  <si>
    <t>r</t>
  </si>
  <si>
    <t>ρair</t>
  </si>
  <si>
    <t>Conditions atmo</t>
  </si>
  <si>
    <t>Moteur</t>
  </si>
  <si>
    <t>Carburant</t>
  </si>
  <si>
    <t>Polluants</t>
  </si>
  <si>
    <t>γair=f(richesse)</t>
  </si>
  <si>
    <t>qmc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</si>
</sst>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7.1570635843221556E-2"/>
          <c:y val="3.3758278262657884E-2"/>
          <c:w val="0.88422316291243519"/>
          <c:h val="0.9175300301946937"/>
        </c:manualLayout>
      </c:layout>
      <c:scatterChart>
        <c:scatterStyle val="smoothMarker"/>
        <c:ser>
          <c:idx val="0"/>
          <c:order val="0"/>
          <c:tx>
            <c:v>PME=f(Mcarb)jaune</c:v>
          </c:tx>
          <c:spPr>
            <a:ln>
              <a:solidFill>
                <a:srgbClr val="7030A0"/>
              </a:solidFill>
              <a:prstDash val="sysDash"/>
            </a:ln>
          </c:spPr>
          <c:marker>
            <c:symbol val="none"/>
          </c:marker>
          <c:xVal>
            <c:numRef>
              <c:f>Tableau!$C$18:$C$20</c:f>
              <c:numCache>
                <c:formatCode>0.0</c:formatCode>
                <c:ptCount val="3"/>
                <c:pt idx="0">
                  <c:v>51.0842472295367</c:v>
                </c:pt>
                <c:pt idx="1">
                  <c:v>59.697221188793179</c:v>
                </c:pt>
                <c:pt idx="2">
                  <c:v>68.411571689448536</c:v>
                </c:pt>
              </c:numCache>
            </c:numRef>
          </c:xVal>
          <c:yVal>
            <c:numRef>
              <c:f>Tableau!$U$18:$U$20</c:f>
              <c:numCache>
                <c:formatCode>0.00</c:formatCode>
                <c:ptCount val="3"/>
                <c:pt idx="0">
                  <c:v>4.5397590361445781</c:v>
                </c:pt>
                <c:pt idx="1">
                  <c:v>4.8499759036144576</c:v>
                </c:pt>
                <c:pt idx="2">
                  <c:v>5.0693975903614454</c:v>
                </c:pt>
              </c:numCache>
            </c:numRef>
          </c:yVal>
          <c:smooth val="1"/>
        </c:ser>
        <c:ser>
          <c:idx val="1"/>
          <c:order val="1"/>
          <c:tx>
            <c:v>PME=f(Mcarb) rouge</c:v>
          </c:tx>
          <c:spPr>
            <a:ln>
              <a:prstDash val="sysDash"/>
            </a:ln>
          </c:spPr>
          <c:marker>
            <c:symbol val="none"/>
          </c:marker>
          <c:xVal>
            <c:numRef>
              <c:f>Tableau!$C$30:$C$32</c:f>
              <c:numCache>
                <c:formatCode>0.0</c:formatCode>
                <c:ptCount val="3"/>
                <c:pt idx="0">
                  <c:v>44.130869395051675</c:v>
                </c:pt>
                <c:pt idx="1">
                  <c:v>50.265060240963855</c:v>
                </c:pt>
                <c:pt idx="2">
                  <c:v>59.600953615257843</c:v>
                </c:pt>
              </c:numCache>
            </c:numRef>
          </c:xVal>
          <c:yVal>
            <c:numRef>
              <c:f>Tableau!$U$30:$U$32</c:f>
              <c:numCache>
                <c:formatCode>0.00</c:formatCode>
                <c:ptCount val="3"/>
                <c:pt idx="0">
                  <c:v>3.6923373493975902</c:v>
                </c:pt>
                <c:pt idx="1">
                  <c:v>3.8133975903614465</c:v>
                </c:pt>
                <c:pt idx="2">
                  <c:v>3.9798554216867474</c:v>
                </c:pt>
              </c:numCache>
            </c:numRef>
          </c:yVal>
          <c:smooth val="1"/>
        </c:ser>
        <c:ser>
          <c:idx val="2"/>
          <c:order val="2"/>
          <c:tx>
            <c:v>PME=f(Mcarb) blanc</c:v>
          </c:tx>
          <c:spPr>
            <a:ln>
              <a:prstDash val="sysDash"/>
            </a:ln>
          </c:spPr>
          <c:marker>
            <c:symbol val="none"/>
          </c:marker>
          <c:xVal>
            <c:numRef>
              <c:f>Tableau!$C$43:$C$45</c:f>
              <c:numCache>
                <c:formatCode>0.0</c:formatCode>
                <c:ptCount val="3"/>
                <c:pt idx="0">
                  <c:v>35.449081273586927</c:v>
                </c:pt>
                <c:pt idx="1">
                  <c:v>41.139272543539072</c:v>
                </c:pt>
                <c:pt idx="2">
                  <c:v>47.856445346666156</c:v>
                </c:pt>
              </c:numCache>
            </c:numRef>
          </c:xVal>
          <c:yVal>
            <c:numRef>
              <c:f>Tableau!$U$43:$U$45</c:f>
              <c:numCache>
                <c:formatCode>0.00</c:formatCode>
                <c:ptCount val="3"/>
                <c:pt idx="0">
                  <c:v>2.5119999999999996</c:v>
                </c:pt>
                <c:pt idx="1">
                  <c:v>2.6103614457831323</c:v>
                </c:pt>
                <c:pt idx="2">
                  <c:v>2.6784578313253014</c:v>
                </c:pt>
              </c:numCache>
            </c:numRef>
          </c:yVal>
          <c:smooth val="1"/>
        </c:ser>
        <c:ser>
          <c:idx val="3"/>
          <c:order val="3"/>
          <c:tx>
            <c:v>PMI=f(Mcarb) jaune</c:v>
          </c:tx>
          <c:marker>
            <c:symbol val="none"/>
          </c:marker>
          <c:xVal>
            <c:numRef>
              <c:f>Tableau!$C$18:$C$20</c:f>
              <c:numCache>
                <c:formatCode>0.0</c:formatCode>
                <c:ptCount val="3"/>
                <c:pt idx="0">
                  <c:v>51.0842472295367</c:v>
                </c:pt>
                <c:pt idx="1">
                  <c:v>59.697221188793179</c:v>
                </c:pt>
                <c:pt idx="2">
                  <c:v>68.411571689448536</c:v>
                </c:pt>
              </c:numCache>
            </c:numRef>
          </c:xVal>
          <c:yVal>
            <c:numRef>
              <c:f>Tableau!$S$18:$S$20</c:f>
              <c:numCache>
                <c:formatCode>General</c:formatCode>
                <c:ptCount val="3"/>
                <c:pt idx="0">
                  <c:v>5.1100000000000003</c:v>
                </c:pt>
                <c:pt idx="1">
                  <c:v>5.42</c:v>
                </c:pt>
                <c:pt idx="2">
                  <c:v>5.64</c:v>
                </c:pt>
              </c:numCache>
            </c:numRef>
          </c:yVal>
          <c:smooth val="1"/>
        </c:ser>
        <c:ser>
          <c:idx val="4"/>
          <c:order val="4"/>
          <c:tx>
            <c:v>PMI=f(Mcarb) rouge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Tableau!$C$30:$C$32</c:f>
              <c:numCache>
                <c:formatCode>0.0</c:formatCode>
                <c:ptCount val="3"/>
                <c:pt idx="0">
                  <c:v>44.130869395051675</c:v>
                </c:pt>
                <c:pt idx="1">
                  <c:v>50.265060240963855</c:v>
                </c:pt>
                <c:pt idx="2">
                  <c:v>59.600953615257843</c:v>
                </c:pt>
              </c:numCache>
            </c:numRef>
          </c:xVal>
          <c:yVal>
            <c:numRef>
              <c:f>Tableau!$O$24:$O$26</c:f>
              <c:numCache>
                <c:formatCode>General</c:formatCode>
                <c:ptCount val="3"/>
                <c:pt idx="0">
                  <c:v>4.32</c:v>
                </c:pt>
                <c:pt idx="1">
                  <c:v>4.5</c:v>
                </c:pt>
                <c:pt idx="2">
                  <c:v>4.54</c:v>
                </c:pt>
              </c:numCache>
            </c:numRef>
          </c:yVal>
          <c:smooth val="1"/>
        </c:ser>
        <c:ser>
          <c:idx val="5"/>
          <c:order val="5"/>
          <c:tx>
            <c:v>PMI=f(Mcar) blanc</c:v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Tableau!$C$43:$C$45</c:f>
              <c:numCache>
                <c:formatCode>0.0</c:formatCode>
                <c:ptCount val="3"/>
                <c:pt idx="0">
                  <c:v>35.449081273586927</c:v>
                </c:pt>
                <c:pt idx="1">
                  <c:v>41.139272543539072</c:v>
                </c:pt>
                <c:pt idx="2">
                  <c:v>47.856445346666156</c:v>
                </c:pt>
              </c:numCache>
            </c:numRef>
          </c:xVal>
          <c:yVal>
            <c:numRef>
              <c:f>Tableau!$S$43:$S$45</c:f>
              <c:numCache>
                <c:formatCode>General</c:formatCode>
                <c:ptCount val="3"/>
                <c:pt idx="0">
                  <c:v>3.08</c:v>
                </c:pt>
                <c:pt idx="1">
                  <c:v>3.18</c:v>
                </c:pt>
                <c:pt idx="2">
                  <c:v>3.25</c:v>
                </c:pt>
              </c:numCache>
            </c:numRef>
          </c:yVal>
          <c:smooth val="1"/>
        </c:ser>
        <c:ser>
          <c:idx val="6"/>
          <c:order val="6"/>
          <c:tx>
            <c:v>PMW 0.85</c:v>
          </c:tx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Courbes!$K$4:$K$11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Courbes!$L$4:$L$11</c:f>
              <c:numCache>
                <c:formatCode>General</c:formatCode>
                <c:ptCount val="8"/>
                <c:pt idx="0">
                  <c:v>-2.0598000000000001</c:v>
                </c:pt>
                <c:pt idx="1">
                  <c:v>-0.76380000000000026</c:v>
                </c:pt>
                <c:pt idx="2">
                  <c:v>0.53219999999999956</c:v>
                </c:pt>
                <c:pt idx="3">
                  <c:v>1.8281999999999998</c:v>
                </c:pt>
                <c:pt idx="4">
                  <c:v>3.1241999999999992</c:v>
                </c:pt>
                <c:pt idx="5">
                  <c:v>4.4201999999999995</c:v>
                </c:pt>
                <c:pt idx="6">
                  <c:v>5.7161999999999997</c:v>
                </c:pt>
                <c:pt idx="7">
                  <c:v>7.0121999999999991</c:v>
                </c:pt>
              </c:numCache>
            </c:numRef>
          </c:yVal>
          <c:smooth val="1"/>
        </c:ser>
        <c:ser>
          <c:idx val="7"/>
          <c:order val="7"/>
          <c:tx>
            <c:v>PMW 1</c:v>
          </c:tx>
          <c:spPr>
            <a:ln w="2222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Courbes!$K$4:$K$11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Courbes!$M$4:$M$11</c:f>
              <c:numCache>
                <c:formatCode>General</c:formatCode>
                <c:ptCount val="8"/>
                <c:pt idx="0">
                  <c:v>-2.3071999999999999</c:v>
                </c:pt>
                <c:pt idx="1">
                  <c:v>-1.1032</c:v>
                </c:pt>
                <c:pt idx="2">
                  <c:v>0.1008</c:v>
                </c:pt>
                <c:pt idx="3">
                  <c:v>1.3047999999999997</c:v>
                </c:pt>
                <c:pt idx="4">
                  <c:v>2.5087999999999999</c:v>
                </c:pt>
                <c:pt idx="5">
                  <c:v>3.7127999999999997</c:v>
                </c:pt>
                <c:pt idx="6">
                  <c:v>4.9167999999999994</c:v>
                </c:pt>
                <c:pt idx="7">
                  <c:v>6.1207999999999991</c:v>
                </c:pt>
              </c:numCache>
            </c:numRef>
          </c:yVal>
          <c:smooth val="1"/>
        </c:ser>
        <c:ser>
          <c:idx val="8"/>
          <c:order val="8"/>
          <c:tx>
            <c:v>PMW 1.15</c:v>
          </c:tx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Courbes!$K$4:$K$11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Courbes!$N$4:$N$11</c:f>
              <c:numCache>
                <c:formatCode>General</c:formatCode>
                <c:ptCount val="8"/>
                <c:pt idx="0">
                  <c:v>-2.9085999999999999</c:v>
                </c:pt>
                <c:pt idx="1">
                  <c:v>-1.7455999999999998</c:v>
                </c:pt>
                <c:pt idx="2">
                  <c:v>-0.58259999999999978</c:v>
                </c:pt>
                <c:pt idx="3">
                  <c:v>0.58040000000000003</c:v>
                </c:pt>
                <c:pt idx="4">
                  <c:v>1.7434000000000003</c:v>
                </c:pt>
                <c:pt idx="5">
                  <c:v>2.9064000000000005</c:v>
                </c:pt>
                <c:pt idx="6">
                  <c:v>4.0693999999999999</c:v>
                </c:pt>
                <c:pt idx="7">
                  <c:v>5.2324000000000002</c:v>
                </c:pt>
              </c:numCache>
            </c:numRef>
          </c:yVal>
          <c:smooth val="1"/>
        </c:ser>
        <c:dLbls/>
        <c:axId val="71323008"/>
        <c:axId val="71341184"/>
      </c:scatterChart>
      <c:valAx>
        <c:axId val="71323008"/>
        <c:scaling>
          <c:orientation val="minMax"/>
        </c:scaling>
        <c:axPos val="b"/>
        <c:numFmt formatCode="0.0" sourceLinked="1"/>
        <c:tickLblPos val="nextTo"/>
        <c:crossAx val="71341184"/>
        <c:crosses val="autoZero"/>
        <c:crossBetween val="midCat"/>
      </c:valAx>
      <c:valAx>
        <c:axId val="71341184"/>
        <c:scaling>
          <c:orientation val="minMax"/>
          <c:max val="6"/>
          <c:min val="-3"/>
        </c:scaling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0.00" sourceLinked="1"/>
        <c:tickLblPos val="nextTo"/>
        <c:spPr>
          <a:noFill/>
          <a:ln>
            <a:solidFill>
              <a:srgbClr val="9BBB59">
                <a:shade val="76000"/>
                <a:shade val="95000"/>
                <a:satMod val="105000"/>
              </a:srgbClr>
            </a:solidFill>
          </a:ln>
        </c:spPr>
        <c:crossAx val="71323008"/>
        <c:crosses val="autoZero"/>
        <c:crossBetween val="midCat"/>
      </c:valAx>
      <c:spPr>
        <a:noFill/>
      </c:spPr>
    </c:plotArea>
    <c:legend>
      <c:legendPos val="r"/>
      <c:layout>
        <c:manualLayout>
          <c:xMode val="edge"/>
          <c:yMode val="edge"/>
          <c:x val="6.972137535732828E-2"/>
          <c:y val="4.2713574452218593E-2"/>
          <c:w val="0.22740025881165971"/>
          <c:h val="0.40559797765879702"/>
        </c:manualLayout>
      </c:layout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7.1570635843221597E-2"/>
          <c:y val="4.1234984902653184E-2"/>
          <c:w val="0.88422316291243497"/>
          <c:h val="0.9175300301946937"/>
        </c:manualLayout>
      </c:layout>
      <c:scatterChart>
        <c:scatterStyle val="smoothMarker"/>
        <c:ser>
          <c:idx val="0"/>
          <c:order val="0"/>
          <c:tx>
            <c:v>PME=f(Mcarb)jaune</c:v>
          </c:tx>
          <c:spPr>
            <a:ln>
              <a:solidFill>
                <a:srgbClr val="7030A0"/>
              </a:solidFill>
              <a:prstDash val="sysDash"/>
            </a:ln>
          </c:spPr>
          <c:marker>
            <c:symbol val="none"/>
          </c:marker>
          <c:xVal>
            <c:numRef>
              <c:f>Tableau!$C$18:$C$20</c:f>
              <c:numCache>
                <c:formatCode>0.0</c:formatCode>
                <c:ptCount val="3"/>
                <c:pt idx="0">
                  <c:v>51.0842472295367</c:v>
                </c:pt>
                <c:pt idx="1">
                  <c:v>59.697221188793179</c:v>
                </c:pt>
                <c:pt idx="2">
                  <c:v>68.411571689448536</c:v>
                </c:pt>
              </c:numCache>
            </c:numRef>
          </c:xVal>
          <c:yVal>
            <c:numRef>
              <c:f>Tableau!$U$18:$U$20</c:f>
              <c:numCache>
                <c:formatCode>0.00</c:formatCode>
                <c:ptCount val="3"/>
                <c:pt idx="0">
                  <c:v>4.5397590361445781</c:v>
                </c:pt>
                <c:pt idx="1">
                  <c:v>4.8499759036144576</c:v>
                </c:pt>
                <c:pt idx="2">
                  <c:v>5.0693975903614454</c:v>
                </c:pt>
              </c:numCache>
            </c:numRef>
          </c:yVal>
          <c:smooth val="1"/>
        </c:ser>
        <c:ser>
          <c:idx val="1"/>
          <c:order val="1"/>
          <c:tx>
            <c:v>PME=f(Mcarb) rouge</c:v>
          </c:tx>
          <c:spPr>
            <a:ln>
              <a:prstDash val="sysDash"/>
            </a:ln>
          </c:spPr>
          <c:marker>
            <c:symbol val="none"/>
          </c:marker>
          <c:xVal>
            <c:numRef>
              <c:f>Tableau!$C$30:$C$32</c:f>
              <c:numCache>
                <c:formatCode>0.0</c:formatCode>
                <c:ptCount val="3"/>
                <c:pt idx="0">
                  <c:v>44.130869395051675</c:v>
                </c:pt>
                <c:pt idx="1">
                  <c:v>50.265060240963855</c:v>
                </c:pt>
                <c:pt idx="2">
                  <c:v>59.600953615257843</c:v>
                </c:pt>
              </c:numCache>
            </c:numRef>
          </c:xVal>
          <c:yVal>
            <c:numRef>
              <c:f>Tableau!$U$30:$U$32</c:f>
              <c:numCache>
                <c:formatCode>0.00</c:formatCode>
                <c:ptCount val="3"/>
                <c:pt idx="0">
                  <c:v>3.6923373493975902</c:v>
                </c:pt>
                <c:pt idx="1">
                  <c:v>3.8133975903614465</c:v>
                </c:pt>
                <c:pt idx="2">
                  <c:v>3.9798554216867474</c:v>
                </c:pt>
              </c:numCache>
            </c:numRef>
          </c:yVal>
          <c:smooth val="1"/>
        </c:ser>
        <c:ser>
          <c:idx val="2"/>
          <c:order val="2"/>
          <c:tx>
            <c:v>PME=f(Mcarb) blanc</c:v>
          </c:tx>
          <c:spPr>
            <a:ln>
              <a:prstDash val="sysDash"/>
            </a:ln>
          </c:spPr>
          <c:marker>
            <c:symbol val="none"/>
          </c:marker>
          <c:xVal>
            <c:numRef>
              <c:f>Tableau!$C$43:$C$45</c:f>
              <c:numCache>
                <c:formatCode>0.0</c:formatCode>
                <c:ptCount val="3"/>
                <c:pt idx="0">
                  <c:v>35.449081273586927</c:v>
                </c:pt>
                <c:pt idx="1">
                  <c:v>41.139272543539072</c:v>
                </c:pt>
                <c:pt idx="2">
                  <c:v>47.856445346666156</c:v>
                </c:pt>
              </c:numCache>
            </c:numRef>
          </c:xVal>
          <c:yVal>
            <c:numRef>
              <c:f>Tableau!$U$43:$U$45</c:f>
              <c:numCache>
                <c:formatCode>0.00</c:formatCode>
                <c:ptCount val="3"/>
                <c:pt idx="0">
                  <c:v>2.5119999999999996</c:v>
                </c:pt>
                <c:pt idx="1">
                  <c:v>2.6103614457831323</c:v>
                </c:pt>
                <c:pt idx="2">
                  <c:v>2.6784578313253014</c:v>
                </c:pt>
              </c:numCache>
            </c:numRef>
          </c:yVal>
          <c:smooth val="1"/>
        </c:ser>
        <c:ser>
          <c:idx val="3"/>
          <c:order val="3"/>
          <c:tx>
            <c:v>PMI=f(Mcarb) jaune</c:v>
          </c:tx>
          <c:marker>
            <c:symbol val="none"/>
          </c:marker>
          <c:xVal>
            <c:numRef>
              <c:f>Tableau!$C$18:$C$20</c:f>
              <c:numCache>
                <c:formatCode>0.0</c:formatCode>
                <c:ptCount val="3"/>
                <c:pt idx="0">
                  <c:v>51.0842472295367</c:v>
                </c:pt>
                <c:pt idx="1">
                  <c:v>59.697221188793179</c:v>
                </c:pt>
                <c:pt idx="2">
                  <c:v>68.411571689448536</c:v>
                </c:pt>
              </c:numCache>
            </c:numRef>
          </c:xVal>
          <c:yVal>
            <c:numRef>
              <c:f>Tableau!$S$18:$S$20</c:f>
              <c:numCache>
                <c:formatCode>General</c:formatCode>
                <c:ptCount val="3"/>
                <c:pt idx="0">
                  <c:v>5.1100000000000003</c:v>
                </c:pt>
                <c:pt idx="1">
                  <c:v>5.42</c:v>
                </c:pt>
                <c:pt idx="2">
                  <c:v>5.64</c:v>
                </c:pt>
              </c:numCache>
            </c:numRef>
          </c:yVal>
          <c:smooth val="1"/>
        </c:ser>
        <c:ser>
          <c:idx val="4"/>
          <c:order val="4"/>
          <c:tx>
            <c:v>PMI=f(Mcarb) rouge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Tableau!$C$30:$C$32</c:f>
              <c:numCache>
                <c:formatCode>0.0</c:formatCode>
                <c:ptCount val="3"/>
                <c:pt idx="0">
                  <c:v>44.130869395051675</c:v>
                </c:pt>
                <c:pt idx="1">
                  <c:v>50.265060240963855</c:v>
                </c:pt>
                <c:pt idx="2">
                  <c:v>59.600953615257843</c:v>
                </c:pt>
              </c:numCache>
            </c:numRef>
          </c:xVal>
          <c:yVal>
            <c:numRef>
              <c:f>Tableau!$O$24:$O$26</c:f>
              <c:numCache>
                <c:formatCode>General</c:formatCode>
                <c:ptCount val="3"/>
                <c:pt idx="0">
                  <c:v>4.32</c:v>
                </c:pt>
                <c:pt idx="1">
                  <c:v>4.5</c:v>
                </c:pt>
                <c:pt idx="2">
                  <c:v>4.54</c:v>
                </c:pt>
              </c:numCache>
            </c:numRef>
          </c:yVal>
          <c:smooth val="1"/>
        </c:ser>
        <c:ser>
          <c:idx val="5"/>
          <c:order val="5"/>
          <c:tx>
            <c:v>PMI=f(Mcar) blanc</c:v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Tableau!$C$43:$C$45</c:f>
              <c:numCache>
                <c:formatCode>0.0</c:formatCode>
                <c:ptCount val="3"/>
                <c:pt idx="0">
                  <c:v>35.449081273586927</c:v>
                </c:pt>
                <c:pt idx="1">
                  <c:v>41.139272543539072</c:v>
                </c:pt>
                <c:pt idx="2">
                  <c:v>47.856445346666156</c:v>
                </c:pt>
              </c:numCache>
            </c:numRef>
          </c:xVal>
          <c:yVal>
            <c:numRef>
              <c:f>Tableau!$S$43:$S$45</c:f>
              <c:numCache>
                <c:formatCode>General</c:formatCode>
                <c:ptCount val="3"/>
                <c:pt idx="0">
                  <c:v>3.08</c:v>
                </c:pt>
                <c:pt idx="1">
                  <c:v>3.18</c:v>
                </c:pt>
                <c:pt idx="2">
                  <c:v>3.25</c:v>
                </c:pt>
              </c:numCache>
            </c:numRef>
          </c:yVal>
          <c:smooth val="1"/>
        </c:ser>
        <c:ser>
          <c:idx val="6"/>
          <c:order val="6"/>
          <c:tx>
            <c:v>PMW 0.85</c:v>
          </c:tx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Courbes!$K$4:$K$11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Courbes!$L$4:$L$11</c:f>
              <c:numCache>
                <c:formatCode>General</c:formatCode>
                <c:ptCount val="8"/>
                <c:pt idx="0">
                  <c:v>-2.0598000000000001</c:v>
                </c:pt>
                <c:pt idx="1">
                  <c:v>-0.76380000000000026</c:v>
                </c:pt>
                <c:pt idx="2">
                  <c:v>0.53219999999999956</c:v>
                </c:pt>
                <c:pt idx="3">
                  <c:v>1.8281999999999998</c:v>
                </c:pt>
                <c:pt idx="4">
                  <c:v>3.1241999999999992</c:v>
                </c:pt>
                <c:pt idx="5">
                  <c:v>4.4201999999999995</c:v>
                </c:pt>
                <c:pt idx="6">
                  <c:v>5.7161999999999997</c:v>
                </c:pt>
                <c:pt idx="7">
                  <c:v>7.0121999999999991</c:v>
                </c:pt>
              </c:numCache>
            </c:numRef>
          </c:yVal>
          <c:smooth val="1"/>
        </c:ser>
        <c:ser>
          <c:idx val="7"/>
          <c:order val="7"/>
          <c:tx>
            <c:v>PMW 1</c:v>
          </c:tx>
          <c:spPr>
            <a:ln w="2222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Courbes!$K$4:$K$11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Courbes!$M$4:$M$11</c:f>
              <c:numCache>
                <c:formatCode>General</c:formatCode>
                <c:ptCount val="8"/>
                <c:pt idx="0">
                  <c:v>-2.3071999999999999</c:v>
                </c:pt>
                <c:pt idx="1">
                  <c:v>-1.1032</c:v>
                </c:pt>
                <c:pt idx="2">
                  <c:v>0.1008</c:v>
                </c:pt>
                <c:pt idx="3">
                  <c:v>1.3047999999999997</c:v>
                </c:pt>
                <c:pt idx="4">
                  <c:v>2.5087999999999999</c:v>
                </c:pt>
                <c:pt idx="5">
                  <c:v>3.7127999999999997</c:v>
                </c:pt>
                <c:pt idx="6">
                  <c:v>4.9167999999999994</c:v>
                </c:pt>
                <c:pt idx="7">
                  <c:v>6.1207999999999991</c:v>
                </c:pt>
              </c:numCache>
            </c:numRef>
          </c:yVal>
          <c:smooth val="1"/>
        </c:ser>
        <c:ser>
          <c:idx val="8"/>
          <c:order val="8"/>
          <c:tx>
            <c:v>PMW 1.15</c:v>
          </c:tx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Courbes!$K$4:$K$11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Courbes!$N$4:$N$11</c:f>
              <c:numCache>
                <c:formatCode>General</c:formatCode>
                <c:ptCount val="8"/>
                <c:pt idx="0">
                  <c:v>-2.9085999999999999</c:v>
                </c:pt>
                <c:pt idx="1">
                  <c:v>-1.7455999999999998</c:v>
                </c:pt>
                <c:pt idx="2">
                  <c:v>-0.58259999999999978</c:v>
                </c:pt>
                <c:pt idx="3">
                  <c:v>0.58040000000000003</c:v>
                </c:pt>
                <c:pt idx="4">
                  <c:v>1.7434000000000003</c:v>
                </c:pt>
                <c:pt idx="5">
                  <c:v>2.9064000000000005</c:v>
                </c:pt>
                <c:pt idx="6">
                  <c:v>4.0693999999999999</c:v>
                </c:pt>
                <c:pt idx="7">
                  <c:v>5.2324000000000002</c:v>
                </c:pt>
              </c:numCache>
            </c:numRef>
          </c:yVal>
          <c:smooth val="1"/>
        </c:ser>
        <c:ser>
          <c:idx val="9"/>
          <c:order val="9"/>
          <c:tx>
            <c:v>Rend idéal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Courbes!$K$32:$K$39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Courbes!$L$32:$L$39</c:f>
              <c:numCache>
                <c:formatCode>General</c:formatCode>
                <c:ptCount val="8"/>
                <c:pt idx="0">
                  <c:v>0</c:v>
                </c:pt>
                <c:pt idx="1">
                  <c:v>4.26</c:v>
                </c:pt>
                <c:pt idx="2">
                  <c:v>8.52</c:v>
                </c:pt>
                <c:pt idx="3">
                  <c:v>12.78</c:v>
                </c:pt>
                <c:pt idx="4">
                  <c:v>17.04</c:v>
                </c:pt>
                <c:pt idx="5">
                  <c:v>21.3</c:v>
                </c:pt>
                <c:pt idx="6">
                  <c:v>25.56</c:v>
                </c:pt>
                <c:pt idx="7">
                  <c:v>29.82</c:v>
                </c:pt>
              </c:numCache>
            </c:numRef>
          </c:yVal>
          <c:smooth val="1"/>
        </c:ser>
        <c:ser>
          <c:idx val="11"/>
          <c:order val="10"/>
          <c:tx>
            <c:v>PML1J</c:v>
          </c:tx>
          <c:marker>
            <c:symbol val="none"/>
          </c:marker>
          <c:xVal>
            <c:numRef>
              <c:f>Tableau!$C$19</c:f>
              <c:numCache>
                <c:formatCode>0.0</c:formatCode>
                <c:ptCount val="1"/>
                <c:pt idx="0">
                  <c:v>59.697221188793179</c:v>
                </c:pt>
              </c:numCache>
            </c:numRef>
          </c:xVal>
          <c:yVal>
            <c:numRef>
              <c:f>Tableau!$O$19</c:f>
              <c:numCache>
                <c:formatCode>0.00</c:formatCode>
                <c:ptCount val="1"/>
                <c:pt idx="0">
                  <c:v>23.653679951850805</c:v>
                </c:pt>
              </c:numCache>
            </c:numRef>
          </c:yVal>
          <c:smooth val="1"/>
        </c:ser>
        <c:ser>
          <c:idx val="10"/>
          <c:order val="11"/>
          <c:tx>
            <c:v>PMth 1J</c:v>
          </c:tx>
          <c:marker>
            <c:symbol val="none"/>
          </c:marker>
          <c:xVal>
            <c:numRef>
              <c:f>Tableau!$C$19</c:f>
              <c:numCache>
                <c:formatCode>0.0</c:formatCode>
                <c:ptCount val="1"/>
                <c:pt idx="0">
                  <c:v>59.697221188793179</c:v>
                </c:pt>
              </c:numCache>
            </c:numRef>
          </c:xVal>
          <c:yVal>
            <c:numRef>
              <c:f>Tableau!$P$19</c:f>
              <c:numCache>
                <c:formatCode>0.00</c:formatCode>
                <c:ptCount val="1"/>
                <c:pt idx="0">
                  <c:v>10.899947310335179</c:v>
                </c:pt>
              </c:numCache>
            </c:numRef>
          </c:yVal>
          <c:smooth val="1"/>
        </c:ser>
        <c:ser>
          <c:idx val="12"/>
          <c:order val="12"/>
          <c:tx>
            <c:v>PMx</c:v>
          </c:tx>
          <c:spPr>
            <a:ln w="25400">
              <a:solidFill>
                <a:srgbClr val="7030A0"/>
              </a:solidFill>
            </a:ln>
          </c:spPr>
          <c:marker>
            <c:symbol val="x"/>
            <c:size val="5"/>
            <c:spPr>
              <a:solidFill>
                <a:srgbClr val="7030A0"/>
              </a:solidFill>
            </c:spPr>
          </c:marker>
          <c:dLbls>
            <c:dLbl>
              <c:idx val="3"/>
              <c:delete val="1"/>
            </c:dLbl>
            <c:dLbl>
              <c:idx val="4"/>
              <c:layout>
                <c:manualLayout>
                  <c:x val="0"/>
                  <c:y val="-4.4859804280951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5.5710306406685246E-3"/>
                  <c:y val="2.9906339950187173E-2"/>
                </c:manualLayout>
              </c:layout>
              <c:dLblPos val="r"/>
              <c:showVal val="1"/>
            </c:dLbl>
            <c:dLblPos val="r"/>
            <c:showVal val="1"/>
          </c:dLbls>
          <c:xVal>
            <c:numRef>
              <c:f>Courbes!$K$42:$K$47</c:f>
              <c:numCache>
                <c:formatCode>General</c:formatCode>
                <c:ptCount val="6"/>
                <c:pt idx="0">
                  <c:v>59.7</c:v>
                </c:pt>
                <c:pt idx="1">
                  <c:v>59.7</c:v>
                </c:pt>
                <c:pt idx="2">
                  <c:v>59.7</c:v>
                </c:pt>
                <c:pt idx="3">
                  <c:v>59.7</c:v>
                </c:pt>
                <c:pt idx="4">
                  <c:v>59.7</c:v>
                </c:pt>
                <c:pt idx="5">
                  <c:v>59.7</c:v>
                </c:pt>
              </c:numCache>
            </c:numRef>
          </c:xVal>
          <c:yVal>
            <c:numRef>
              <c:f>Courbes!$L$42:$L$47</c:f>
              <c:numCache>
                <c:formatCode>General</c:formatCode>
                <c:ptCount val="6"/>
                <c:pt idx="0">
                  <c:v>25.43</c:v>
                </c:pt>
                <c:pt idx="1">
                  <c:v>23.65</c:v>
                </c:pt>
                <c:pt idx="2">
                  <c:v>10.9</c:v>
                </c:pt>
                <c:pt idx="3">
                  <c:v>5.58</c:v>
                </c:pt>
                <c:pt idx="4">
                  <c:v>5.42</c:v>
                </c:pt>
                <c:pt idx="5">
                  <c:v>4.8499999999999996</c:v>
                </c:pt>
              </c:numCache>
            </c:numRef>
          </c:yVal>
          <c:smooth val="1"/>
        </c:ser>
        <c:dLbls/>
        <c:axId val="71719936"/>
        <c:axId val="71770880"/>
      </c:scatterChart>
      <c:valAx>
        <c:axId val="71719936"/>
        <c:scaling>
          <c:orientation val="minMax"/>
        </c:scaling>
        <c:axPos val="b"/>
        <c:numFmt formatCode="0.0" sourceLinked="1"/>
        <c:tickLblPos val="nextTo"/>
        <c:crossAx val="71770880"/>
        <c:crosses val="autoZero"/>
        <c:crossBetween val="midCat"/>
      </c:valAx>
      <c:valAx>
        <c:axId val="71770880"/>
        <c:scaling>
          <c:orientation val="minMax"/>
          <c:max val="26"/>
          <c:min val="-3"/>
        </c:scaling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0.00" sourceLinked="1"/>
        <c:tickLblPos val="nextTo"/>
        <c:spPr>
          <a:noFill/>
          <a:ln>
            <a:solidFill>
              <a:srgbClr val="9BBB59">
                <a:shade val="76000"/>
                <a:shade val="95000"/>
                <a:satMod val="105000"/>
              </a:srgbClr>
            </a:solidFill>
          </a:ln>
        </c:spPr>
        <c:crossAx val="71719936"/>
        <c:crosses val="autoZero"/>
        <c:crossBetween val="midCat"/>
      </c:valAx>
      <c:spPr>
        <a:noFill/>
      </c:spPr>
    </c:plotArea>
    <c:legend>
      <c:legendPos val="r"/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6.9721375357328308E-2"/>
          <c:y val="4.2713574452218635E-2"/>
          <c:w val="0.22740025881165971"/>
          <c:h val="0.40559797765879702"/>
        </c:manualLayout>
      </c:layout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104774</xdr:rowOff>
    </xdr:from>
    <xdr:to>
      <xdr:col>9</xdr:col>
      <xdr:colOff>323850</xdr:colOff>
      <xdr:row>28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295275</xdr:colOff>
      <xdr:row>29</xdr:row>
      <xdr:rowOff>152400</xdr:rowOff>
    </xdr:from>
    <xdr:to>
      <xdr:col>9</xdr:col>
      <xdr:colOff>276225</xdr:colOff>
      <xdr:row>56</xdr:row>
      <xdr:rowOff>104776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0"/>
  <sheetViews>
    <sheetView topLeftCell="A8" workbookViewId="0">
      <selection activeCell="M37" sqref="M37"/>
    </sheetView>
  </sheetViews>
  <sheetFormatPr baseColWidth="10" defaultRowHeight="15"/>
  <cols>
    <col min="1" max="1" width="12.28515625" style="1" customWidth="1"/>
    <col min="2" max="21" width="7.7109375" style="1" customWidth="1"/>
    <col min="22" max="22" width="10" style="1" customWidth="1"/>
    <col min="23" max="23" width="9" style="1" customWidth="1"/>
    <col min="24" max="16384" width="11.42578125" style="1"/>
  </cols>
  <sheetData>
    <row r="1" spans="1:23">
      <c r="A1" s="18"/>
      <c r="B1" s="22" t="s">
        <v>94</v>
      </c>
      <c r="C1" s="22"/>
      <c r="D1" s="22"/>
      <c r="E1" s="18"/>
      <c r="F1" s="23" t="s">
        <v>95</v>
      </c>
      <c r="G1" s="24"/>
      <c r="H1" s="25"/>
      <c r="I1" s="18"/>
      <c r="J1" s="23" t="s">
        <v>96</v>
      </c>
      <c r="K1" s="24"/>
      <c r="L1" s="25"/>
      <c r="M1" s="18"/>
      <c r="N1" s="22" t="s">
        <v>97</v>
      </c>
      <c r="O1" s="26"/>
      <c r="P1" s="26"/>
      <c r="Q1" s="18"/>
      <c r="R1" s="22" t="s">
        <v>98</v>
      </c>
      <c r="S1" s="22"/>
      <c r="T1" s="22"/>
    </row>
    <row r="2" spans="1:23" ht="18">
      <c r="A2" s="18"/>
      <c r="B2" s="19" t="s">
        <v>13</v>
      </c>
      <c r="C2" s="19" t="s">
        <v>16</v>
      </c>
      <c r="D2" s="19">
        <v>1017</v>
      </c>
      <c r="E2" s="18"/>
      <c r="F2" s="19" t="s">
        <v>21</v>
      </c>
      <c r="G2" s="19" t="s">
        <v>47</v>
      </c>
      <c r="H2" s="19">
        <v>83</v>
      </c>
      <c r="I2" s="18"/>
      <c r="J2" s="19" t="s">
        <v>39</v>
      </c>
      <c r="K2" s="19"/>
      <c r="L2" s="19">
        <v>1.85</v>
      </c>
      <c r="M2" s="18"/>
      <c r="N2" s="20" t="s">
        <v>48</v>
      </c>
      <c r="O2" s="19" t="s">
        <v>49</v>
      </c>
      <c r="P2" s="19">
        <v>1.9630000000000001</v>
      </c>
      <c r="Q2" s="18"/>
      <c r="R2" s="20" t="s">
        <v>46</v>
      </c>
      <c r="S2" s="19" t="s">
        <v>77</v>
      </c>
      <c r="T2" s="19">
        <v>1.4</v>
      </c>
    </row>
    <row r="3" spans="1:23" ht="17.25">
      <c r="A3" s="18"/>
      <c r="B3" s="19" t="s">
        <v>14</v>
      </c>
      <c r="C3" s="19" t="s">
        <v>17</v>
      </c>
      <c r="D3" s="19">
        <v>19</v>
      </c>
      <c r="E3" s="18"/>
      <c r="F3" s="20" t="s">
        <v>29</v>
      </c>
      <c r="G3" s="19"/>
      <c r="H3" s="19">
        <v>6.5</v>
      </c>
      <c r="I3" s="18"/>
      <c r="J3" s="19" t="s">
        <v>34</v>
      </c>
      <c r="K3" s="19" t="s">
        <v>35</v>
      </c>
      <c r="L3" s="19">
        <v>42600</v>
      </c>
      <c r="M3" s="18"/>
      <c r="N3" s="19" t="s">
        <v>40</v>
      </c>
      <c r="O3" s="19" t="s">
        <v>49</v>
      </c>
      <c r="P3" s="19">
        <v>1.2490000000000001</v>
      </c>
      <c r="Q3" s="18"/>
      <c r="R3" s="20" t="s">
        <v>46</v>
      </c>
      <c r="S3" s="19">
        <v>0.85</v>
      </c>
      <c r="T3" s="19">
        <f>(-0.14*S3)+1.47</f>
        <v>1.351</v>
      </c>
    </row>
    <row r="4" spans="1:23" ht="17.25">
      <c r="A4" s="18"/>
      <c r="B4" s="19" t="s">
        <v>15</v>
      </c>
      <c r="C4" s="19" t="s">
        <v>18</v>
      </c>
      <c r="D4" s="19">
        <v>68</v>
      </c>
      <c r="E4" s="18"/>
      <c r="F4" s="19" t="s">
        <v>30</v>
      </c>
      <c r="G4" s="19" t="s">
        <v>31</v>
      </c>
      <c r="H4" s="19">
        <v>48</v>
      </c>
      <c r="I4" s="18"/>
      <c r="J4" s="19" t="s">
        <v>36</v>
      </c>
      <c r="K4" s="19"/>
      <c r="L4" s="19">
        <v>14.56</v>
      </c>
      <c r="M4" s="18"/>
      <c r="N4" s="19" t="s">
        <v>41</v>
      </c>
      <c r="O4" s="19" t="s">
        <v>49</v>
      </c>
      <c r="P4" s="19">
        <v>3.8370000000000002</v>
      </c>
      <c r="Q4" s="18"/>
      <c r="R4" s="20" t="s">
        <v>46</v>
      </c>
      <c r="S4" s="19">
        <v>1</v>
      </c>
      <c r="T4" s="19">
        <f t="shared" ref="T4:T5" si="0">(-0.14*S4)+1.47</f>
        <v>1.33</v>
      </c>
    </row>
    <row r="5" spans="1:23" ht="17.25">
      <c r="A5" s="18"/>
      <c r="B5" s="19" t="s">
        <v>93</v>
      </c>
      <c r="C5" s="19" t="s">
        <v>49</v>
      </c>
      <c r="D5" s="21">
        <f>1.29*(D2/1013)*(273.15/(273.15+D3))</f>
        <v>1.2108672470953086</v>
      </c>
      <c r="E5" s="18"/>
      <c r="F5" s="19" t="s">
        <v>32</v>
      </c>
      <c r="G5" s="19" t="s">
        <v>31</v>
      </c>
      <c r="H5" s="19">
        <v>46</v>
      </c>
      <c r="I5" s="18"/>
      <c r="J5" s="19" t="s">
        <v>74</v>
      </c>
      <c r="K5" s="19" t="s">
        <v>49</v>
      </c>
      <c r="L5" s="19">
        <v>745</v>
      </c>
      <c r="M5" s="18"/>
      <c r="N5" s="19" t="s">
        <v>42</v>
      </c>
      <c r="O5" s="19" t="s">
        <v>49</v>
      </c>
      <c r="P5" s="19">
        <v>2.052</v>
      </c>
      <c r="Q5" s="18"/>
      <c r="R5" s="20" t="s">
        <v>46</v>
      </c>
      <c r="S5" s="19">
        <v>1.1499999999999999</v>
      </c>
      <c r="T5" s="19">
        <f t="shared" si="0"/>
        <v>1.3089999999999999</v>
      </c>
    </row>
    <row r="6" spans="1:23" ht="17.25">
      <c r="A6" s="18"/>
      <c r="B6" s="18"/>
      <c r="C6" s="18"/>
      <c r="D6" s="18"/>
      <c r="E6" s="18"/>
      <c r="F6" s="19" t="s">
        <v>33</v>
      </c>
      <c r="G6" s="19" t="s">
        <v>31</v>
      </c>
      <c r="H6" s="19">
        <v>95.36</v>
      </c>
      <c r="I6" s="18"/>
      <c r="J6" s="18"/>
      <c r="K6" s="18"/>
      <c r="L6" s="18"/>
      <c r="M6" s="18"/>
      <c r="N6" s="19" t="s">
        <v>43</v>
      </c>
      <c r="O6" s="19" t="s">
        <v>49</v>
      </c>
      <c r="P6" s="19">
        <v>1.32</v>
      </c>
      <c r="Q6" s="18"/>
      <c r="R6" s="18"/>
      <c r="S6" s="18"/>
      <c r="T6" s="18"/>
    </row>
    <row r="7" spans="1:23" ht="17.25">
      <c r="A7" s="18"/>
      <c r="B7" s="18"/>
      <c r="C7" s="18"/>
      <c r="D7" s="18"/>
      <c r="E7" s="18"/>
      <c r="F7" s="19" t="s">
        <v>72</v>
      </c>
      <c r="G7" s="19"/>
      <c r="H7" s="19">
        <v>2</v>
      </c>
      <c r="I7" s="18"/>
      <c r="J7" s="19" t="s">
        <v>45</v>
      </c>
      <c r="K7" s="19" t="s">
        <v>47</v>
      </c>
      <c r="L7" s="19">
        <v>1.4</v>
      </c>
      <c r="M7" s="18"/>
      <c r="N7" s="19" t="s">
        <v>37</v>
      </c>
      <c r="O7" s="19" t="s">
        <v>35</v>
      </c>
      <c r="P7" s="19">
        <v>10500</v>
      </c>
      <c r="Q7" s="18"/>
      <c r="R7" s="18"/>
      <c r="S7" s="18"/>
      <c r="T7" s="18"/>
    </row>
    <row r="8" spans="1:23">
      <c r="A8" s="18"/>
      <c r="B8" s="18"/>
      <c r="C8" s="18"/>
      <c r="D8" s="18"/>
      <c r="E8" s="18"/>
      <c r="F8" s="19" t="s">
        <v>73</v>
      </c>
      <c r="G8" s="19"/>
      <c r="H8" s="19">
        <v>1</v>
      </c>
      <c r="I8" s="18"/>
      <c r="J8" s="18"/>
      <c r="K8" s="18"/>
      <c r="L8" s="18"/>
      <c r="M8" s="18"/>
      <c r="N8" s="19" t="s">
        <v>38</v>
      </c>
      <c r="O8" s="19" t="s">
        <v>35</v>
      </c>
      <c r="P8" s="19">
        <v>42600</v>
      </c>
      <c r="Q8" s="18"/>
      <c r="R8" s="18"/>
      <c r="S8" s="18"/>
      <c r="T8" s="18"/>
    </row>
    <row r="10" spans="1:23" ht="18">
      <c r="A10" s="4" t="s">
        <v>44</v>
      </c>
      <c r="B10" s="2" t="s">
        <v>3</v>
      </c>
      <c r="C10" s="12" t="s">
        <v>0</v>
      </c>
      <c r="D10" s="12" t="s">
        <v>1</v>
      </c>
      <c r="E10" s="12" t="s">
        <v>2</v>
      </c>
      <c r="F10" s="12" t="s">
        <v>28</v>
      </c>
      <c r="G10" s="12" t="s">
        <v>4</v>
      </c>
      <c r="H10" s="12" t="s">
        <v>5</v>
      </c>
      <c r="I10" s="13" t="s">
        <v>6</v>
      </c>
      <c r="J10" s="13" t="s">
        <v>7</v>
      </c>
      <c r="K10" s="14" t="s">
        <v>8</v>
      </c>
      <c r="L10" s="14" t="s">
        <v>9</v>
      </c>
      <c r="M10" s="14" t="s">
        <v>58</v>
      </c>
      <c r="N10" s="14" t="s">
        <v>59</v>
      </c>
      <c r="O10" s="14" t="s">
        <v>10</v>
      </c>
      <c r="P10" s="15" t="s">
        <v>85</v>
      </c>
      <c r="Q10" s="15" t="s">
        <v>11</v>
      </c>
      <c r="R10" s="15" t="s">
        <v>12</v>
      </c>
      <c r="S10" s="15" t="s">
        <v>69</v>
      </c>
      <c r="T10" s="15" t="s">
        <v>70</v>
      </c>
      <c r="U10" s="16" t="s">
        <v>27</v>
      </c>
      <c r="V10" s="2" t="s">
        <v>79</v>
      </c>
      <c r="W10" s="2" t="s">
        <v>78</v>
      </c>
    </row>
    <row r="11" spans="1:23">
      <c r="A11" s="4" t="s">
        <v>71</v>
      </c>
      <c r="B11" s="2"/>
      <c r="C11" s="2" t="s">
        <v>19</v>
      </c>
      <c r="D11" s="2" t="s">
        <v>20</v>
      </c>
      <c r="E11" s="2" t="s">
        <v>17</v>
      </c>
      <c r="F11" s="2" t="s">
        <v>21</v>
      </c>
      <c r="G11" s="2" t="s">
        <v>22</v>
      </c>
      <c r="H11" s="2" t="s">
        <v>17</v>
      </c>
      <c r="I11" s="2" t="s">
        <v>23</v>
      </c>
      <c r="J11" s="2" t="s">
        <v>24</v>
      </c>
      <c r="K11" s="2" t="s">
        <v>25</v>
      </c>
      <c r="L11" s="2" t="s">
        <v>24</v>
      </c>
      <c r="M11" s="2" t="s">
        <v>25</v>
      </c>
      <c r="N11" s="2" t="s">
        <v>25</v>
      </c>
      <c r="O11" s="2" t="s">
        <v>25</v>
      </c>
      <c r="P11" s="2" t="s">
        <v>18</v>
      </c>
      <c r="Q11" s="2" t="s">
        <v>18</v>
      </c>
      <c r="R11" s="2" t="s">
        <v>26</v>
      </c>
      <c r="S11" s="2" t="s">
        <v>18</v>
      </c>
      <c r="T11" s="2" t="s">
        <v>26</v>
      </c>
      <c r="U11" s="2"/>
      <c r="V11" s="2" t="s">
        <v>80</v>
      </c>
      <c r="W11" s="2" t="s">
        <v>80</v>
      </c>
    </row>
    <row r="12" spans="1:23">
      <c r="A12" s="2"/>
      <c r="B12" s="2">
        <v>0.85</v>
      </c>
      <c r="C12" s="2">
        <v>2004</v>
      </c>
      <c r="D12" s="2">
        <v>3</v>
      </c>
      <c r="E12" s="2">
        <v>421</v>
      </c>
      <c r="F12" s="2">
        <v>3.09</v>
      </c>
      <c r="G12" s="2">
        <v>14.73</v>
      </c>
      <c r="H12" s="2"/>
      <c r="I12" s="2">
        <v>19792</v>
      </c>
      <c r="J12" s="2">
        <v>26</v>
      </c>
      <c r="K12" s="2"/>
      <c r="L12" s="2">
        <v>13</v>
      </c>
      <c r="M12" s="2">
        <v>5.27</v>
      </c>
      <c r="N12" s="2">
        <v>-0.17</v>
      </c>
      <c r="O12" s="2">
        <v>5.1100000000000003</v>
      </c>
      <c r="P12" s="2">
        <v>13</v>
      </c>
      <c r="Q12" s="2">
        <v>0.1</v>
      </c>
      <c r="R12" s="2">
        <v>79</v>
      </c>
      <c r="S12" s="2">
        <v>3.38</v>
      </c>
      <c r="T12" s="2">
        <v>1700</v>
      </c>
      <c r="U12" s="2">
        <v>1.1599999999999999</v>
      </c>
      <c r="V12" s="5">
        <f>($L$7*$L$5*60*$H$7)/(G12*C12)</f>
        <v>4.2399925200515467</v>
      </c>
      <c r="W12" s="5">
        <f>V12*$L$4*U12</f>
        <v>71.611777666662604</v>
      </c>
    </row>
    <row r="13" spans="1:23">
      <c r="A13" s="2"/>
      <c r="B13" s="2">
        <v>1</v>
      </c>
      <c r="C13" s="2">
        <v>2000</v>
      </c>
      <c r="D13" s="2">
        <v>3.2050000000000001</v>
      </c>
      <c r="E13" s="2">
        <v>434</v>
      </c>
      <c r="F13" s="2">
        <v>2.85</v>
      </c>
      <c r="G13" s="2">
        <v>12.63</v>
      </c>
      <c r="H13" s="2"/>
      <c r="I13" s="2">
        <v>23285</v>
      </c>
      <c r="J13" s="2">
        <v>24</v>
      </c>
      <c r="K13" s="2"/>
      <c r="L13" s="2">
        <v>13.5</v>
      </c>
      <c r="M13" s="2">
        <v>5.58</v>
      </c>
      <c r="N13" s="2">
        <v>-0.16</v>
      </c>
      <c r="O13" s="2">
        <v>5.42</v>
      </c>
      <c r="P13" s="2">
        <v>13.7</v>
      </c>
      <c r="Q13" s="2">
        <v>1.48</v>
      </c>
      <c r="R13" s="2">
        <v>365</v>
      </c>
      <c r="S13" s="2">
        <v>1.2</v>
      </c>
      <c r="T13" s="2">
        <v>1491</v>
      </c>
      <c r="U13" s="2">
        <v>0.995</v>
      </c>
      <c r="V13" s="5">
        <f>($L$7*$L$5*60*$H$7)/(G13*C13)</f>
        <v>4.9548693586698338</v>
      </c>
      <c r="W13" s="5">
        <f t="shared" ref="W13:W14" si="1">V13*$L$4*U13</f>
        <v>71.782183372921622</v>
      </c>
    </row>
    <row r="14" spans="1:23">
      <c r="A14" s="2"/>
      <c r="B14" s="2">
        <v>1.1499999999999999</v>
      </c>
      <c r="C14" s="2">
        <v>2013</v>
      </c>
      <c r="D14" s="2">
        <v>3.35</v>
      </c>
      <c r="E14" s="2">
        <v>411</v>
      </c>
      <c r="F14" s="2">
        <v>2.5</v>
      </c>
      <c r="G14" s="2">
        <v>10.95</v>
      </c>
      <c r="H14" s="2"/>
      <c r="I14" s="2">
        <v>26600</v>
      </c>
      <c r="J14" s="2">
        <v>22</v>
      </c>
      <c r="K14" s="2"/>
      <c r="L14" s="2">
        <v>12.5</v>
      </c>
      <c r="M14" s="2">
        <v>5.77</v>
      </c>
      <c r="N14" s="2">
        <v>-0.17</v>
      </c>
      <c r="O14" s="2">
        <v>5.6</v>
      </c>
      <c r="P14" s="2">
        <v>11.6</v>
      </c>
      <c r="Q14" s="2">
        <v>4.0999999999999996</v>
      </c>
      <c r="R14" s="2">
        <v>451</v>
      </c>
      <c r="S14" s="2">
        <v>0.85</v>
      </c>
      <c r="T14" s="2">
        <v>616</v>
      </c>
      <c r="U14" s="2">
        <v>0.87</v>
      </c>
      <c r="V14" s="5">
        <f>($L$7*$L$5*60*$H$7)/(G14*C14)</f>
        <v>5.6781604502242278</v>
      </c>
      <c r="W14" s="5">
        <f t="shared" si="1"/>
        <v>71.926394055080337</v>
      </c>
    </row>
    <row r="16" spans="1:23" ht="18">
      <c r="A16" s="4" t="s">
        <v>44</v>
      </c>
      <c r="B16" s="2" t="s">
        <v>3</v>
      </c>
      <c r="C16" s="2" t="s">
        <v>51</v>
      </c>
      <c r="D16" s="2" t="s">
        <v>50</v>
      </c>
      <c r="E16" s="2" t="s">
        <v>54</v>
      </c>
      <c r="F16" s="2" t="s">
        <v>53</v>
      </c>
      <c r="G16" s="3" t="s">
        <v>62</v>
      </c>
      <c r="H16" s="3" t="s">
        <v>63</v>
      </c>
      <c r="I16" s="3" t="s">
        <v>64</v>
      </c>
      <c r="J16" s="3" t="s">
        <v>65</v>
      </c>
      <c r="K16" s="3" t="s">
        <v>67</v>
      </c>
      <c r="L16" s="3" t="s">
        <v>66</v>
      </c>
      <c r="M16" s="3" t="s">
        <v>68</v>
      </c>
      <c r="N16" s="2" t="s">
        <v>55</v>
      </c>
      <c r="O16" s="2" t="s">
        <v>56</v>
      </c>
      <c r="P16" s="2" t="s">
        <v>57</v>
      </c>
      <c r="Q16" s="2" t="s">
        <v>58</v>
      </c>
      <c r="R16" s="2" t="s">
        <v>59</v>
      </c>
      <c r="S16" s="2" t="s">
        <v>10</v>
      </c>
      <c r="T16" s="2" t="s">
        <v>61</v>
      </c>
      <c r="U16" s="2" t="s">
        <v>60</v>
      </c>
      <c r="V16" s="3" t="s">
        <v>76</v>
      </c>
      <c r="W16" s="2" t="s">
        <v>92</v>
      </c>
    </row>
    <row r="17" spans="1:23">
      <c r="A17" s="4" t="s">
        <v>71</v>
      </c>
      <c r="B17" s="2"/>
      <c r="C17" s="2" t="s">
        <v>52</v>
      </c>
      <c r="D17" s="2" t="s">
        <v>75</v>
      </c>
      <c r="E17" s="2" t="s">
        <v>75</v>
      </c>
      <c r="F17" s="2" t="s">
        <v>75</v>
      </c>
      <c r="G17" s="2" t="s">
        <v>18</v>
      </c>
      <c r="H17" s="2" t="s">
        <v>18</v>
      </c>
      <c r="I17" s="2" t="s">
        <v>18</v>
      </c>
      <c r="J17" s="2" t="s">
        <v>18</v>
      </c>
      <c r="K17" s="2" t="s">
        <v>18</v>
      </c>
      <c r="L17" s="2" t="s">
        <v>18</v>
      </c>
      <c r="M17" s="2" t="s">
        <v>18</v>
      </c>
      <c r="N17" s="2" t="s">
        <v>25</v>
      </c>
      <c r="O17" s="2" t="s">
        <v>25</v>
      </c>
      <c r="P17" s="2" t="s">
        <v>25</v>
      </c>
      <c r="Q17" s="2" t="s">
        <v>25</v>
      </c>
      <c r="R17" s="2" t="s">
        <v>25</v>
      </c>
      <c r="S17" s="2" t="s">
        <v>25</v>
      </c>
      <c r="T17" s="2" t="s">
        <v>25</v>
      </c>
      <c r="U17" s="2" t="s">
        <v>25</v>
      </c>
      <c r="V17" s="2" t="s">
        <v>18</v>
      </c>
      <c r="W17" s="2"/>
    </row>
    <row r="18" spans="1:23">
      <c r="B18" s="2">
        <v>0.85</v>
      </c>
      <c r="C18" s="6">
        <f>(1000*$L$7*$L$5*60*$H$7)/(G12*C12*$H$2)</f>
        <v>51.0842472295367</v>
      </c>
      <c r="D18" s="6">
        <f>($L$7*$L$5*$L$3*10^-3*60*$H$7)/(G12*C12)</f>
        <v>180.62368135419587</v>
      </c>
      <c r="E18" s="6">
        <f>((D18/$L$3)*(1+$L$4*U12)/$P$6)*(((Q12/100)*$P$3*$P$7)+((R12/10^6)*$P$4*$P$8))</f>
        <v>1.4956325510872388</v>
      </c>
      <c r="F18" s="6">
        <f>D18-E18</f>
        <v>179.12804880310864</v>
      </c>
      <c r="G18" s="6">
        <f>F18*100/D18</f>
        <v>99.171962092747776</v>
      </c>
      <c r="H18" s="6">
        <f>100-(100/$H$3^(T3-1))</f>
        <v>48.15971125808823</v>
      </c>
      <c r="I18" s="6">
        <f>S18*100/P18</f>
        <v>49.164488230116596</v>
      </c>
      <c r="J18" s="6">
        <f>U18*100/S18</f>
        <v>88.840685638837144</v>
      </c>
      <c r="K18" s="6">
        <f>Q18*100/N18</f>
        <v>24.262599273493311</v>
      </c>
      <c r="L18" s="6">
        <f>S18*100/N18</f>
        <v>23.481417099914928</v>
      </c>
      <c r="M18" s="6">
        <f>U18*100/N18</f>
        <v>20.86105194927957</v>
      </c>
      <c r="N18" s="5">
        <f>D18*10/$H$2</f>
        <v>21.761889319782636</v>
      </c>
      <c r="O18" s="5">
        <f>F18*10/$H$2</f>
        <v>21.58169262688056</v>
      </c>
      <c r="P18" s="5">
        <f>O18*H18/100</f>
        <v>10.393680853713795</v>
      </c>
      <c r="Q18" s="2">
        <v>5.28</v>
      </c>
      <c r="R18" s="2">
        <f>N12</f>
        <v>-0.17</v>
      </c>
      <c r="S18" s="2">
        <f>O12</f>
        <v>5.1100000000000003</v>
      </c>
      <c r="T18" s="5">
        <f>S18-U18</f>
        <v>0.57024096385542222</v>
      </c>
      <c r="U18" s="5">
        <f>(D12*4*3.14*10)/$H$2</f>
        <v>4.5397590361445781</v>
      </c>
      <c r="V18" s="5">
        <f>((G18/100)*(H18/100)*(I18/100)*(J18/100))*100</f>
        <v>20.861051949279577</v>
      </c>
      <c r="W18" s="5">
        <f>W12/($H$2*$D$5)</f>
        <v>0.712540952839954</v>
      </c>
    </row>
    <row r="19" spans="1:23">
      <c r="B19" s="2">
        <v>1</v>
      </c>
      <c r="C19" s="6">
        <f>(1000*$L$7*$L$5*60*$H$7)/(G13*C13*$H$2)</f>
        <v>59.697221188793179</v>
      </c>
      <c r="D19" s="6">
        <f>($L$7*$L$5*$L$3*10^-3*60*$H$7)/(G13*C13)</f>
        <v>211.07743467933491</v>
      </c>
      <c r="E19" s="6">
        <f>((D19/$L$3)*(1+$L$4*U13)/$P$6)*(((Q13/100)*$P$3*$P$7)+((R13/10^6)*$P$4*$P$8))</f>
        <v>14.751891078973243</v>
      </c>
      <c r="F19" s="6">
        <f t="shared" ref="F19:F20" si="2">D19-E19</f>
        <v>196.32554360036167</v>
      </c>
      <c r="G19" s="6">
        <f t="shared" ref="G19:G20" si="3">F19*100/D19</f>
        <v>93.011147259116512</v>
      </c>
      <c r="H19" s="6">
        <f>100-(100/$H$3^(T4-1))</f>
        <v>46.081401847505347</v>
      </c>
      <c r="I19" s="6">
        <f t="shared" ref="I19:I20" si="4">S19*100/P19</f>
        <v>49.72501100863883</v>
      </c>
      <c r="J19" s="6">
        <f t="shared" ref="J19:J20" si="5">U19*100/S19</f>
        <v>89.482950251189251</v>
      </c>
      <c r="K19" s="6">
        <f t="shared" ref="K19:K20" si="6">Q19*100/N19</f>
        <v>21.941710666684674</v>
      </c>
      <c r="L19" s="6">
        <f t="shared" ref="L19:L20" si="7">S19*100/N19</f>
        <v>21.312557672657871</v>
      </c>
      <c r="M19" s="6">
        <f t="shared" ref="M19:M20" si="8">U19*100/N19</f>
        <v>19.071105379480461</v>
      </c>
      <c r="N19" s="5">
        <f t="shared" ref="N19:N20" si="9">D19*10/$H$2</f>
        <v>25.431016226425893</v>
      </c>
      <c r="O19" s="5">
        <f t="shared" ref="O19:O20" si="10">F19*10/$H$2</f>
        <v>23.653679951850805</v>
      </c>
      <c r="P19" s="5">
        <f t="shared" ref="P19:P20" si="11">O19*H19/100</f>
        <v>10.899947310335179</v>
      </c>
      <c r="Q19" s="2">
        <f t="shared" ref="Q19" si="12">M13</f>
        <v>5.58</v>
      </c>
      <c r="R19" s="2">
        <f t="shared" ref="R19:R20" si="13">N13</f>
        <v>-0.16</v>
      </c>
      <c r="S19" s="2">
        <f>O13</f>
        <v>5.42</v>
      </c>
      <c r="T19" s="5">
        <f t="shared" ref="T19:T20" si="14">S19-U19</f>
        <v>0.5700240963855423</v>
      </c>
      <c r="U19" s="5">
        <f t="shared" ref="U19:U20" si="15">(D13*4*3.14*10)/$H$2</f>
        <v>4.8499759036144576</v>
      </c>
      <c r="V19" s="5">
        <f t="shared" ref="V19:V20" si="16">((G19/100)*(H19/100)*(I19/100)*(J19/100))*100</f>
        <v>19.071105379480461</v>
      </c>
      <c r="W19" s="5">
        <f>W13/($H$2*$D$5)</f>
        <v>0.71423649857647165</v>
      </c>
    </row>
    <row r="20" spans="1:23">
      <c r="B20" s="2">
        <v>1.1499999999999999</v>
      </c>
      <c r="C20" s="6">
        <f>(1000*$L$7*$L$5*60*$H$7)/(G14*C14*$H$2)</f>
        <v>68.411571689448536</v>
      </c>
      <c r="D20" s="6">
        <f>($L$7*$L$5*$L$3*10^-3*60*$H$7)/(G14*C14)</f>
        <v>241.8896351795521</v>
      </c>
      <c r="E20" s="6">
        <f>((D20/$L$3)*(1+$L$4*U14)/$P$6)*(((Q14/100)*$P$3*$P$7)+((R14/10^6)*$P$4*$P$8))</f>
        <v>35.945797416661435</v>
      </c>
      <c r="F20" s="6">
        <f t="shared" si="2"/>
        <v>205.94383776289067</v>
      </c>
      <c r="G20" s="6">
        <f t="shared" si="3"/>
        <v>85.139587568529237</v>
      </c>
      <c r="H20" s="6">
        <f>100-(100/$H$3^(T5-1))</f>
        <v>43.919771720334204</v>
      </c>
      <c r="I20" s="6">
        <f t="shared" si="4"/>
        <v>51.754524243830929</v>
      </c>
      <c r="J20" s="6">
        <f t="shared" si="5"/>
        <v>89.882935999316416</v>
      </c>
      <c r="K20" s="6">
        <f t="shared" si="6"/>
        <v>19.935951354097739</v>
      </c>
      <c r="L20" s="6">
        <f t="shared" si="7"/>
        <v>19.352627476266999</v>
      </c>
      <c r="M20" s="6">
        <f t="shared" si="8"/>
        <v>17.394709768679188</v>
      </c>
      <c r="N20" s="5">
        <f t="shared" si="9"/>
        <v>29.143329539705071</v>
      </c>
      <c r="O20" s="5">
        <f t="shared" si="10"/>
        <v>24.812510573842253</v>
      </c>
      <c r="P20" s="5">
        <f t="shared" si="11"/>
        <v>10.897598002115304</v>
      </c>
      <c r="Q20" s="2">
        <v>5.81</v>
      </c>
      <c r="R20" s="2">
        <f t="shared" si="13"/>
        <v>-0.17</v>
      </c>
      <c r="S20" s="2">
        <v>5.64</v>
      </c>
      <c r="T20" s="5">
        <f t="shared" si="14"/>
        <v>0.57060240963855424</v>
      </c>
      <c r="U20" s="5">
        <f t="shared" si="15"/>
        <v>5.0693975903614454</v>
      </c>
      <c r="V20" s="5">
        <f t="shared" si="16"/>
        <v>17.394709768679188</v>
      </c>
      <c r="W20" s="5">
        <f>W14/($H$2*$D$5)</f>
        <v>0.71567140244596339</v>
      </c>
    </row>
    <row r="22" spans="1:23" ht="18">
      <c r="A22" s="7" t="s">
        <v>82</v>
      </c>
      <c r="B22" s="2" t="s">
        <v>3</v>
      </c>
      <c r="C22" s="12" t="s">
        <v>0</v>
      </c>
      <c r="D22" s="12" t="s">
        <v>1</v>
      </c>
      <c r="E22" s="12" t="s">
        <v>2</v>
      </c>
      <c r="F22" s="12" t="s">
        <v>28</v>
      </c>
      <c r="G22" s="12" t="s">
        <v>4</v>
      </c>
      <c r="H22" s="12" t="s">
        <v>5</v>
      </c>
      <c r="I22" s="13" t="s">
        <v>6</v>
      </c>
      <c r="J22" s="13" t="s">
        <v>7</v>
      </c>
      <c r="K22" s="14" t="s">
        <v>8</v>
      </c>
      <c r="L22" s="14" t="s">
        <v>9</v>
      </c>
      <c r="M22" s="14" t="s">
        <v>58</v>
      </c>
      <c r="N22" s="14" t="s">
        <v>59</v>
      </c>
      <c r="O22" s="14" t="s">
        <v>10</v>
      </c>
      <c r="P22" s="15" t="s">
        <v>85</v>
      </c>
      <c r="Q22" s="15" t="s">
        <v>11</v>
      </c>
      <c r="R22" s="15" t="s">
        <v>12</v>
      </c>
      <c r="S22" s="15" t="s">
        <v>69</v>
      </c>
      <c r="T22" s="15" t="s">
        <v>70</v>
      </c>
      <c r="U22" s="16" t="s">
        <v>27</v>
      </c>
      <c r="V22" s="2" t="s">
        <v>79</v>
      </c>
      <c r="W22" s="2" t="s">
        <v>78</v>
      </c>
    </row>
    <row r="23" spans="1:23">
      <c r="A23" s="7" t="s">
        <v>81</v>
      </c>
      <c r="B23" s="2"/>
      <c r="C23" s="2" t="s">
        <v>19</v>
      </c>
      <c r="D23" s="2" t="s">
        <v>20</v>
      </c>
      <c r="E23" s="2" t="s">
        <v>17</v>
      </c>
      <c r="F23" s="2" t="s">
        <v>21</v>
      </c>
      <c r="G23" s="2" t="s">
        <v>22</v>
      </c>
      <c r="H23" s="2" t="s">
        <v>17</v>
      </c>
      <c r="I23" s="2" t="s">
        <v>23</v>
      </c>
      <c r="J23" s="2" t="s">
        <v>24</v>
      </c>
      <c r="K23" s="2" t="s">
        <v>25</v>
      </c>
      <c r="L23" s="2" t="s">
        <v>24</v>
      </c>
      <c r="M23" s="2" t="s">
        <v>25</v>
      </c>
      <c r="N23" s="2" t="s">
        <v>25</v>
      </c>
      <c r="O23" s="2" t="s">
        <v>25</v>
      </c>
      <c r="P23" s="2" t="s">
        <v>18</v>
      </c>
      <c r="Q23" s="2" t="s">
        <v>18</v>
      </c>
      <c r="R23" s="2" t="s">
        <v>26</v>
      </c>
      <c r="S23" s="2" t="s">
        <v>18</v>
      </c>
      <c r="T23" s="2" t="s">
        <v>26</v>
      </c>
      <c r="U23" s="2"/>
      <c r="V23" s="2" t="s">
        <v>80</v>
      </c>
      <c r="W23" s="2" t="s">
        <v>80</v>
      </c>
    </row>
    <row r="24" spans="1:23">
      <c r="A24" s="2"/>
      <c r="B24" s="2">
        <v>0.85</v>
      </c>
      <c r="C24" s="2">
        <v>2010</v>
      </c>
      <c r="D24" s="2">
        <v>2.44</v>
      </c>
      <c r="E24" s="2">
        <v>415</v>
      </c>
      <c r="F24" s="2">
        <v>3.03</v>
      </c>
      <c r="G24" s="2">
        <v>17</v>
      </c>
      <c r="H24" s="2"/>
      <c r="I24" s="2">
        <v>17085</v>
      </c>
      <c r="J24" s="2">
        <v>28</v>
      </c>
      <c r="K24" s="2"/>
      <c r="L24" s="2">
        <v>12</v>
      </c>
      <c r="M24" s="2">
        <v>4.62</v>
      </c>
      <c r="N24" s="2">
        <v>-0.3</v>
      </c>
      <c r="O24" s="2">
        <v>4.32</v>
      </c>
      <c r="P24" s="2">
        <v>12.9</v>
      </c>
      <c r="Q24" s="2">
        <v>0.19</v>
      </c>
      <c r="R24" s="2">
        <v>420</v>
      </c>
      <c r="S24" s="2">
        <v>3.45</v>
      </c>
      <c r="T24" s="2">
        <v>1110</v>
      </c>
      <c r="U24" s="2">
        <v>1.1499999999999999</v>
      </c>
      <c r="V24" s="5">
        <f>($L$7*$L$5*60*$H$7)/(G24*C24)</f>
        <v>3.662862159789289</v>
      </c>
      <c r="W24" s="5">
        <f>V24*$L$4*U24</f>
        <v>61.330964003511852</v>
      </c>
    </row>
    <row r="25" spans="1:23">
      <c r="A25" s="2"/>
      <c r="B25" s="2">
        <v>1</v>
      </c>
      <c r="C25" s="2">
        <v>2000</v>
      </c>
      <c r="D25" s="2">
        <v>2.52</v>
      </c>
      <c r="E25" s="2">
        <v>422</v>
      </c>
      <c r="F25" s="2">
        <v>2.85</v>
      </c>
      <c r="G25" s="2">
        <v>15</v>
      </c>
      <c r="H25" s="2"/>
      <c r="I25" s="2">
        <v>19136</v>
      </c>
      <c r="J25" s="2">
        <v>26</v>
      </c>
      <c r="K25" s="2"/>
      <c r="L25" s="2">
        <v>11.5</v>
      </c>
      <c r="M25" s="2">
        <v>4.8</v>
      </c>
      <c r="N25" s="2">
        <v>-0.3</v>
      </c>
      <c r="O25" s="9">
        <v>4.5</v>
      </c>
      <c r="P25" s="2">
        <v>13.5</v>
      </c>
      <c r="Q25" s="2">
        <v>1.4</v>
      </c>
      <c r="R25" s="2">
        <v>394</v>
      </c>
      <c r="S25" s="2">
        <v>1.7</v>
      </c>
      <c r="T25" s="2">
        <v>1342</v>
      </c>
      <c r="U25" s="2">
        <v>1.03</v>
      </c>
      <c r="V25" s="5">
        <f>($L$7*$L$5*60*$H$7)/(G25*C25)</f>
        <v>4.1719999999999997</v>
      </c>
      <c r="W25" s="5">
        <f t="shared" ref="W25:W26" si="17">V25*$L$4*U25</f>
        <v>62.566649599999998</v>
      </c>
    </row>
    <row r="26" spans="1:23">
      <c r="A26" s="2"/>
      <c r="B26" s="2">
        <v>1.1499999999999999</v>
      </c>
      <c r="C26" s="2">
        <v>2008</v>
      </c>
      <c r="D26" s="2">
        <v>2.63</v>
      </c>
      <c r="E26" s="2">
        <v>393</v>
      </c>
      <c r="F26" s="2">
        <v>2.5</v>
      </c>
      <c r="G26" s="2">
        <v>12.6</v>
      </c>
      <c r="H26" s="2"/>
      <c r="I26" s="11">
        <v>21200</v>
      </c>
      <c r="J26" s="2">
        <v>24</v>
      </c>
      <c r="K26" s="2"/>
      <c r="L26" s="2">
        <v>10.9</v>
      </c>
      <c r="M26" s="2">
        <v>4.8499999999999996</v>
      </c>
      <c r="N26" s="2">
        <v>-0.31</v>
      </c>
      <c r="O26" s="9">
        <v>4.54</v>
      </c>
      <c r="P26" s="2">
        <v>10.7</v>
      </c>
      <c r="Q26" s="2">
        <v>4.8</v>
      </c>
      <c r="R26" s="2">
        <v>510</v>
      </c>
      <c r="S26" s="2">
        <v>0.98</v>
      </c>
      <c r="T26" s="2">
        <v>425</v>
      </c>
      <c r="U26" s="2">
        <v>0.85</v>
      </c>
      <c r="V26" s="5">
        <f>($L$7*$L$5*60*$H$7)/(G26*C26)</f>
        <v>4.9468791500664011</v>
      </c>
      <c r="W26" s="5">
        <f t="shared" si="17"/>
        <v>61.222576361221783</v>
      </c>
    </row>
    <row r="27" spans="1:23">
      <c r="H27" s="10"/>
    </row>
    <row r="28" spans="1:23" ht="18">
      <c r="A28" s="7" t="s">
        <v>82</v>
      </c>
      <c r="B28" s="2" t="s">
        <v>3</v>
      </c>
      <c r="C28" s="2" t="s">
        <v>51</v>
      </c>
      <c r="D28" s="2" t="s">
        <v>50</v>
      </c>
      <c r="E28" s="2" t="s">
        <v>54</v>
      </c>
      <c r="F28" s="2" t="s">
        <v>53</v>
      </c>
      <c r="G28" s="3" t="s">
        <v>62</v>
      </c>
      <c r="H28" s="3" t="s">
        <v>63</v>
      </c>
      <c r="I28" s="3" t="s">
        <v>64</v>
      </c>
      <c r="J28" s="3" t="s">
        <v>65</v>
      </c>
      <c r="K28" s="3" t="s">
        <v>67</v>
      </c>
      <c r="L28" s="3" t="s">
        <v>66</v>
      </c>
      <c r="M28" s="3" t="s">
        <v>68</v>
      </c>
      <c r="N28" s="2" t="s">
        <v>55</v>
      </c>
      <c r="O28" s="2" t="s">
        <v>56</v>
      </c>
      <c r="P28" s="2" t="s">
        <v>57</v>
      </c>
      <c r="Q28" s="2" t="s">
        <v>58</v>
      </c>
      <c r="R28" s="2" t="s">
        <v>59</v>
      </c>
      <c r="S28" s="2" t="s">
        <v>10</v>
      </c>
      <c r="T28" s="2" t="s">
        <v>61</v>
      </c>
      <c r="U28" s="2" t="s">
        <v>60</v>
      </c>
      <c r="V28" s="3" t="s">
        <v>76</v>
      </c>
      <c r="W28" s="2" t="s">
        <v>92</v>
      </c>
    </row>
    <row r="29" spans="1:23">
      <c r="A29" s="7" t="s">
        <v>81</v>
      </c>
      <c r="B29" s="2"/>
      <c r="C29" s="2" t="s">
        <v>52</v>
      </c>
      <c r="D29" s="2" t="s">
        <v>75</v>
      </c>
      <c r="E29" s="2" t="s">
        <v>75</v>
      </c>
      <c r="F29" s="2" t="s">
        <v>75</v>
      </c>
      <c r="G29" s="2" t="s">
        <v>18</v>
      </c>
      <c r="H29" s="2" t="s">
        <v>18</v>
      </c>
      <c r="I29" s="2" t="s">
        <v>18</v>
      </c>
      <c r="J29" s="2" t="s">
        <v>18</v>
      </c>
      <c r="K29" s="2" t="s">
        <v>18</v>
      </c>
      <c r="L29" s="2" t="s">
        <v>18</v>
      </c>
      <c r="M29" s="2" t="s">
        <v>18</v>
      </c>
      <c r="N29" s="2" t="s">
        <v>25</v>
      </c>
      <c r="O29" s="2" t="s">
        <v>25</v>
      </c>
      <c r="P29" s="2" t="s">
        <v>25</v>
      </c>
      <c r="Q29" s="2" t="s">
        <v>25</v>
      </c>
      <c r="R29" s="2" t="s">
        <v>25</v>
      </c>
      <c r="S29" s="2" t="s">
        <v>25</v>
      </c>
      <c r="T29" s="2" t="s">
        <v>25</v>
      </c>
      <c r="U29" s="2" t="s">
        <v>25</v>
      </c>
      <c r="V29" s="2" t="s">
        <v>18</v>
      </c>
      <c r="W29" s="2"/>
    </row>
    <row r="30" spans="1:23">
      <c r="B30" s="2">
        <v>0.85</v>
      </c>
      <c r="C30" s="6">
        <f>(1000*$L$7*$L$5*60*$H$7)/(G24*C24*$H$2)</f>
        <v>44.130869395051675</v>
      </c>
      <c r="D30" s="6">
        <f>($L$7*$L$5*$L$3*10^-3*60*$H$7)/(G24*C24)</f>
        <v>156.03792800702371</v>
      </c>
      <c r="E30" s="6">
        <f>((D30/$L$3)*(1+$L$4*U24)/$P$6)*(((Q24/100)*$P$3*$P$7)+((R24/10^6)*$P$4*$P$8))</f>
        <v>4.6071343403963283</v>
      </c>
      <c r="F30" s="6">
        <f>D30-E30</f>
        <v>151.43079366662738</v>
      </c>
      <c r="G30" s="6">
        <f>F30*100/D30</f>
        <v>97.047426610157913</v>
      </c>
      <c r="H30" s="6">
        <f>100-(100/$H$3^(T3-1))</f>
        <v>48.15971125808823</v>
      </c>
      <c r="I30" s="6">
        <f>S30*100/P30</f>
        <v>48.483014904369874</v>
      </c>
      <c r="J30" s="6">
        <f>U30*100/S30</f>
        <v>86.674585666610099</v>
      </c>
      <c r="K30" s="6">
        <f>Q30*100/N30</f>
        <v>24.25564122992991</v>
      </c>
      <c r="L30" s="6">
        <f>S30*100/N30</f>
        <v>22.659875359539789</v>
      </c>
      <c r="M30" s="6">
        <f>U30*100/N30</f>
        <v>19.640353080451387</v>
      </c>
      <c r="N30" s="5">
        <f>D30*10/$H$2</f>
        <v>18.799750362292013</v>
      </c>
      <c r="O30" s="5">
        <f>F30*10/$H$2</f>
        <v>18.244673935738238</v>
      </c>
      <c r="P30" s="5">
        <f>O30*H30/100</f>
        <v>8.7865822874312158</v>
      </c>
      <c r="Q30" s="2">
        <v>4.5599999999999996</v>
      </c>
      <c r="R30" s="2">
        <f>N24</f>
        <v>-0.3</v>
      </c>
      <c r="S30" s="2">
        <v>4.26</v>
      </c>
      <c r="T30" s="5">
        <f>S30-U30</f>
        <v>0.56766265060240961</v>
      </c>
      <c r="U30" s="5">
        <f>(D24*4*3.14*10)/$H$2</f>
        <v>3.6923373493975902</v>
      </c>
      <c r="V30" s="5">
        <f>((G30/100)*(H30/100)*(I30/100)*(J30/100))*100</f>
        <v>19.640353080451391</v>
      </c>
      <c r="W30" s="5">
        <f>W24/($H$2*$D$5)</f>
        <v>0.61024631636814231</v>
      </c>
    </row>
    <row r="31" spans="1:23">
      <c r="B31" s="2">
        <v>1</v>
      </c>
      <c r="C31" s="6">
        <f>(1000*$L$7*$L$5*60*$H$7)/(G25*C25*$H$2)</f>
        <v>50.265060240963855</v>
      </c>
      <c r="D31" s="6">
        <f>($L$7*$L$5*$L$3*10^-3*60*$H$7)/(G25*C25)</f>
        <v>177.72720000000001</v>
      </c>
      <c r="E31" s="6">
        <f>((D31/$L$3)*(1+$L$4*U25)/$P$6)*(((Q25/100)*$P$3*$P$7)+((R25/10^6)*$P$4*$P$8))</f>
        <v>12.539016385505546</v>
      </c>
      <c r="F31" s="6">
        <f t="shared" ref="F31:F32" si="18">D31-E31</f>
        <v>165.18818361449448</v>
      </c>
      <c r="G31" s="6">
        <f t="shared" ref="G31:G32" si="19">F31*100/D31</f>
        <v>92.944796077637235</v>
      </c>
      <c r="H31" s="6">
        <f>100-(100/$H$3^(T4-1))</f>
        <v>46.081401847505347</v>
      </c>
      <c r="I31" s="6">
        <f t="shared" ref="I31:I32" si="20">S31*100/P31</f>
        <v>47.758155226759186</v>
      </c>
      <c r="J31" s="6">
        <f t="shared" ref="J31:J32" si="21">U31*100/S31</f>
        <v>87.063871926060429</v>
      </c>
      <c r="K31" s="6">
        <f t="shared" ref="K31:K32" si="22">Q31*100/N31</f>
        <v>21.855968022902513</v>
      </c>
      <c r="L31" s="6">
        <f t="shared" ref="L31:L32" si="23">S31*100/N31</f>
        <v>20.454944431690816</v>
      </c>
      <c r="M31" s="6">
        <f t="shared" ref="M31:M32" si="24">U31*100/N31</f>
        <v>17.808866622554117</v>
      </c>
      <c r="N31" s="5">
        <f t="shared" ref="N31:N32" si="25">D31*10/$H$2</f>
        <v>21.412915662650605</v>
      </c>
      <c r="O31" s="5">
        <f t="shared" ref="O31:O32" si="26">F31*10/$H$2</f>
        <v>19.902190796927044</v>
      </c>
      <c r="P31" s="5">
        <f t="shared" ref="P31:P32" si="27">O31*H31/100</f>
        <v>9.1712085175891787</v>
      </c>
      <c r="Q31" s="2">
        <v>4.68</v>
      </c>
      <c r="R31" s="2">
        <f t="shared" ref="R31:R32" si="28">N25</f>
        <v>-0.3</v>
      </c>
      <c r="S31" s="2">
        <v>4.38</v>
      </c>
      <c r="T31" s="5">
        <f t="shared" ref="T31:T32" si="29">S31-U31</f>
        <v>0.56660240963855335</v>
      </c>
      <c r="U31" s="5">
        <f t="shared" ref="U31:U32" si="30">(D25*4*3.14*10)/$H$2</f>
        <v>3.8133975903614465</v>
      </c>
      <c r="V31" s="5">
        <f t="shared" ref="V31:V32" si="31">((G31/100)*(H31/100)*(I31/100)*(J31/100))*100</f>
        <v>17.808866622554127</v>
      </c>
      <c r="W31" s="5">
        <f>W25/($H$2*$D$5)</f>
        <v>0.62254145302053343</v>
      </c>
    </row>
    <row r="32" spans="1:23">
      <c r="B32" s="2">
        <v>1.1499999999999999</v>
      </c>
      <c r="C32" s="6">
        <f>(1000*$L$7*$L$5*60*$H$7)/(G26*C26*$H$2)</f>
        <v>59.600953615257843</v>
      </c>
      <c r="D32" s="6">
        <f>($L$7*$L$5*$L$3*10^-3*60*$H$7)/(G26*C26)</f>
        <v>210.73705179282868</v>
      </c>
      <c r="E32" s="6">
        <f>((D32/$L$3)*(1+$L$4*U26)/$P$6)*(((Q26/100)*$P$3*$P$7)+((R26/10^6)*$P$4*$P$8))</f>
        <v>35.734446606852586</v>
      </c>
      <c r="F32" s="6">
        <f t="shared" si="18"/>
        <v>175.00260518597611</v>
      </c>
      <c r="G32" s="6">
        <f t="shared" si="19"/>
        <v>83.043111639436617</v>
      </c>
      <c r="H32" s="6">
        <f>100-(100/$H$3^(T5-1))</f>
        <v>43.919771720334204</v>
      </c>
      <c r="I32" s="6">
        <f t="shared" si="20"/>
        <v>49.02632695785389</v>
      </c>
      <c r="J32" s="6">
        <f t="shared" si="21"/>
        <v>87.662013693540686</v>
      </c>
      <c r="K32" s="6">
        <f t="shared" si="22"/>
        <v>19.102003970129498</v>
      </c>
      <c r="L32" s="6">
        <f t="shared" si="23"/>
        <v>17.88105113904906</v>
      </c>
      <c r="M32" s="6">
        <f t="shared" si="24"/>
        <v>15.674889498062198</v>
      </c>
      <c r="N32" s="5">
        <f t="shared" si="25"/>
        <v>25.390006240099844</v>
      </c>
      <c r="O32" s="5">
        <f t="shared" si="26"/>
        <v>21.084651227226036</v>
      </c>
      <c r="P32" s="5">
        <f t="shared" si="27"/>
        <v>9.2603306870263182</v>
      </c>
      <c r="Q32" s="2">
        <v>4.8499999999999996</v>
      </c>
      <c r="R32" s="2">
        <f t="shared" si="28"/>
        <v>-0.31</v>
      </c>
      <c r="S32" s="2">
        <f>O26</f>
        <v>4.54</v>
      </c>
      <c r="T32" s="5">
        <f t="shared" si="29"/>
        <v>0.56014457831325259</v>
      </c>
      <c r="U32" s="5">
        <f t="shared" si="30"/>
        <v>3.9798554216867474</v>
      </c>
      <c r="V32" s="5">
        <f t="shared" si="31"/>
        <v>15.6748894980622</v>
      </c>
      <c r="W32" s="5">
        <f>W26/($H$2*$D$5)</f>
        <v>0.60916785362877368</v>
      </c>
    </row>
    <row r="35" spans="1:23" ht="18">
      <c r="A35" s="8" t="s">
        <v>83</v>
      </c>
      <c r="B35" s="2" t="s">
        <v>3</v>
      </c>
      <c r="C35" s="12" t="s">
        <v>0</v>
      </c>
      <c r="D35" s="12" t="s">
        <v>1</v>
      </c>
      <c r="E35" s="12" t="s">
        <v>2</v>
      </c>
      <c r="F35" s="12" t="s">
        <v>28</v>
      </c>
      <c r="G35" s="12" t="s">
        <v>4</v>
      </c>
      <c r="H35" s="12" t="s">
        <v>5</v>
      </c>
      <c r="I35" s="13" t="s">
        <v>6</v>
      </c>
      <c r="J35" s="13" t="s">
        <v>7</v>
      </c>
      <c r="K35" s="14" t="s">
        <v>8</v>
      </c>
      <c r="L35" s="14" t="s">
        <v>9</v>
      </c>
      <c r="M35" s="14" t="s">
        <v>58</v>
      </c>
      <c r="N35" s="14" t="s">
        <v>59</v>
      </c>
      <c r="O35" s="14" t="s">
        <v>10</v>
      </c>
      <c r="P35" s="15" t="s">
        <v>85</v>
      </c>
      <c r="Q35" s="15" t="s">
        <v>11</v>
      </c>
      <c r="R35" s="15" t="s">
        <v>12</v>
      </c>
      <c r="S35" s="15" t="s">
        <v>69</v>
      </c>
      <c r="T35" s="15" t="s">
        <v>70</v>
      </c>
      <c r="U35" s="16" t="s">
        <v>27</v>
      </c>
      <c r="V35" s="2" t="s">
        <v>79</v>
      </c>
      <c r="W35" s="2" t="s">
        <v>78</v>
      </c>
    </row>
    <row r="36" spans="1:23">
      <c r="A36" s="8" t="s">
        <v>84</v>
      </c>
      <c r="B36" s="2"/>
      <c r="C36" s="2" t="s">
        <v>19</v>
      </c>
      <c r="D36" s="2" t="s">
        <v>20</v>
      </c>
      <c r="E36" s="2" t="s">
        <v>17</v>
      </c>
      <c r="F36" s="2" t="s">
        <v>21</v>
      </c>
      <c r="G36" s="2" t="s">
        <v>22</v>
      </c>
      <c r="H36" s="2" t="s">
        <v>17</v>
      </c>
      <c r="I36" s="2" t="s">
        <v>23</v>
      </c>
      <c r="J36" s="2" t="s">
        <v>24</v>
      </c>
      <c r="K36" s="2" t="s">
        <v>25</v>
      </c>
      <c r="L36" s="2" t="s">
        <v>24</v>
      </c>
      <c r="M36" s="2" t="s">
        <v>25</v>
      </c>
      <c r="N36" s="2" t="s">
        <v>25</v>
      </c>
      <c r="O36" s="2" t="s">
        <v>25</v>
      </c>
      <c r="P36" s="2" t="s">
        <v>18</v>
      </c>
      <c r="Q36" s="2" t="s">
        <v>18</v>
      </c>
      <c r="R36" s="2" t="s">
        <v>26</v>
      </c>
      <c r="S36" s="2" t="s">
        <v>18</v>
      </c>
      <c r="T36" s="2" t="s">
        <v>26</v>
      </c>
      <c r="U36" s="2"/>
      <c r="V36" s="2" t="s">
        <v>80</v>
      </c>
      <c r="W36" s="2" t="s">
        <v>80</v>
      </c>
    </row>
    <row r="37" spans="1:23">
      <c r="A37" s="2"/>
      <c r="B37" s="2">
        <v>0.85</v>
      </c>
      <c r="C37" s="2">
        <v>2017</v>
      </c>
      <c r="D37" s="2">
        <v>1.66</v>
      </c>
      <c r="E37" s="2">
        <v>374</v>
      </c>
      <c r="F37" s="2">
        <v>3</v>
      </c>
      <c r="G37" s="2">
        <v>21.09</v>
      </c>
      <c r="H37" s="2"/>
      <c r="I37" s="2">
        <v>13492</v>
      </c>
      <c r="J37" s="2">
        <v>30</v>
      </c>
      <c r="K37" s="2"/>
      <c r="L37" s="2">
        <v>15</v>
      </c>
      <c r="M37" s="2">
        <v>3.5</v>
      </c>
      <c r="N37" s="2">
        <v>-0.42</v>
      </c>
      <c r="O37" s="2">
        <v>3.08</v>
      </c>
      <c r="P37" s="2">
        <v>9.6999999999999993</v>
      </c>
      <c r="Q37" s="2">
        <v>0.3</v>
      </c>
      <c r="R37" s="2">
        <v>490</v>
      </c>
      <c r="S37" s="2">
        <v>3.62</v>
      </c>
      <c r="T37" s="2">
        <v>628</v>
      </c>
      <c r="U37" s="2">
        <v>1.1599999999999999</v>
      </c>
      <c r="V37" s="5">
        <f>($L$7*$L$5*60*$H$7)/(G37*C37)</f>
        <v>2.9422737457077148</v>
      </c>
      <c r="W37" s="5">
        <f>V37*$L$4*U37</f>
        <v>49.693826655505021</v>
      </c>
    </row>
    <row r="38" spans="1:23">
      <c r="A38" s="2"/>
      <c r="B38" s="2">
        <v>1</v>
      </c>
      <c r="C38" s="2">
        <v>2014</v>
      </c>
      <c r="D38" s="2">
        <v>1.7250000000000001</v>
      </c>
      <c r="E38" s="2">
        <v>379</v>
      </c>
      <c r="F38" s="2">
        <v>2.85</v>
      </c>
      <c r="G38" s="2">
        <v>18.2</v>
      </c>
      <c r="H38" s="2"/>
      <c r="I38" s="2">
        <v>15650</v>
      </c>
      <c r="J38" s="2">
        <v>28</v>
      </c>
      <c r="K38" s="2"/>
      <c r="L38" s="2">
        <v>13</v>
      </c>
      <c r="M38" s="2">
        <v>3.6</v>
      </c>
      <c r="N38" s="2">
        <v>-0.42</v>
      </c>
      <c r="O38" s="2">
        <v>3.18</v>
      </c>
      <c r="P38" s="2">
        <v>12.5</v>
      </c>
      <c r="Q38" s="2">
        <v>2.6</v>
      </c>
      <c r="R38" s="2">
        <v>500</v>
      </c>
      <c r="S38" s="2">
        <v>2.2000000000000002</v>
      </c>
      <c r="T38" s="2">
        <v>465</v>
      </c>
      <c r="U38" s="2">
        <v>1.01</v>
      </c>
      <c r="V38" s="5">
        <f>($L$7*$L$5*60*$H$7)/(G38*C38)</f>
        <v>3.4145596211137428</v>
      </c>
      <c r="W38" s="5">
        <f t="shared" ref="W38:W39" si="32">V38*$L$4*U38</f>
        <v>50.213147964250261</v>
      </c>
    </row>
    <row r="39" spans="1:23">
      <c r="A39" s="2"/>
      <c r="B39" s="2">
        <v>1.1499999999999999</v>
      </c>
      <c r="C39" s="2">
        <v>2007</v>
      </c>
      <c r="D39" s="2">
        <v>1.77</v>
      </c>
      <c r="E39" s="2">
        <v>348</v>
      </c>
      <c r="F39" s="2">
        <v>2.25</v>
      </c>
      <c r="G39" s="2">
        <v>15.7</v>
      </c>
      <c r="H39" s="2"/>
      <c r="I39" s="2">
        <v>18218</v>
      </c>
      <c r="J39" s="2">
        <v>26</v>
      </c>
      <c r="K39" s="2"/>
      <c r="L39" s="2">
        <v>11</v>
      </c>
      <c r="M39" s="2">
        <v>3.7</v>
      </c>
      <c r="N39" s="2">
        <v>-0.42</v>
      </c>
      <c r="O39" s="2">
        <v>3.28</v>
      </c>
      <c r="P39" s="2">
        <v>10</v>
      </c>
      <c r="Q39" s="2">
        <v>5.6</v>
      </c>
      <c r="R39" s="2">
        <v>630</v>
      </c>
      <c r="S39" s="2">
        <v>1.6</v>
      </c>
      <c r="T39" s="2">
        <v>241</v>
      </c>
      <c r="U39" s="2">
        <v>0.85</v>
      </c>
      <c r="V39" s="5">
        <f>($L$7*$L$5*60*$H$7)/(G39*C39)</f>
        <v>3.9720849637732907</v>
      </c>
      <c r="W39" s="5">
        <f t="shared" si="32"/>
        <v>49.158523511658245</v>
      </c>
    </row>
    <row r="41" spans="1:23" ht="18">
      <c r="A41" s="8" t="s">
        <v>83</v>
      </c>
      <c r="B41" s="2" t="s">
        <v>3</v>
      </c>
      <c r="C41" s="2" t="s">
        <v>51</v>
      </c>
      <c r="D41" s="2" t="s">
        <v>50</v>
      </c>
      <c r="E41" s="2" t="s">
        <v>54</v>
      </c>
      <c r="F41" s="2" t="s">
        <v>53</v>
      </c>
      <c r="G41" s="3" t="s">
        <v>62</v>
      </c>
      <c r="H41" s="3" t="s">
        <v>63</v>
      </c>
      <c r="I41" s="3" t="s">
        <v>64</v>
      </c>
      <c r="J41" s="3" t="s">
        <v>65</v>
      </c>
      <c r="K41" s="3" t="s">
        <v>67</v>
      </c>
      <c r="L41" s="3" t="s">
        <v>66</v>
      </c>
      <c r="M41" s="3" t="s">
        <v>68</v>
      </c>
      <c r="N41" s="2" t="s">
        <v>55</v>
      </c>
      <c r="O41" s="2" t="s">
        <v>56</v>
      </c>
      <c r="P41" s="2" t="s">
        <v>57</v>
      </c>
      <c r="Q41" s="2" t="s">
        <v>58</v>
      </c>
      <c r="R41" s="2" t="s">
        <v>59</v>
      </c>
      <c r="S41" s="2" t="s">
        <v>10</v>
      </c>
      <c r="T41" s="2" t="s">
        <v>61</v>
      </c>
      <c r="U41" s="2" t="s">
        <v>60</v>
      </c>
      <c r="V41" s="3" t="s">
        <v>76</v>
      </c>
      <c r="W41" s="2" t="s">
        <v>92</v>
      </c>
    </row>
    <row r="42" spans="1:23">
      <c r="A42" s="8" t="s">
        <v>84</v>
      </c>
      <c r="B42" s="2"/>
      <c r="C42" s="2" t="s">
        <v>52</v>
      </c>
      <c r="D42" s="2" t="s">
        <v>75</v>
      </c>
      <c r="E42" s="2" t="s">
        <v>75</v>
      </c>
      <c r="F42" s="2" t="s">
        <v>75</v>
      </c>
      <c r="G42" s="2" t="s">
        <v>18</v>
      </c>
      <c r="H42" s="2" t="s">
        <v>18</v>
      </c>
      <c r="I42" s="2" t="s">
        <v>18</v>
      </c>
      <c r="J42" s="2" t="s">
        <v>18</v>
      </c>
      <c r="K42" s="2" t="s">
        <v>18</v>
      </c>
      <c r="L42" s="2" t="s">
        <v>18</v>
      </c>
      <c r="M42" s="2" t="s">
        <v>18</v>
      </c>
      <c r="N42" s="2" t="s">
        <v>25</v>
      </c>
      <c r="O42" s="2" t="s">
        <v>25</v>
      </c>
      <c r="P42" s="2" t="s">
        <v>25</v>
      </c>
      <c r="Q42" s="2" t="s">
        <v>25</v>
      </c>
      <c r="R42" s="2" t="s">
        <v>25</v>
      </c>
      <c r="S42" s="2" t="s">
        <v>25</v>
      </c>
      <c r="T42" s="2" t="s">
        <v>25</v>
      </c>
      <c r="U42" s="2" t="s">
        <v>25</v>
      </c>
      <c r="V42" s="2" t="s">
        <v>18</v>
      </c>
      <c r="W42" s="2"/>
    </row>
    <row r="43" spans="1:23">
      <c r="B43" s="2">
        <v>0.85</v>
      </c>
      <c r="C43" s="6">
        <f>(1000*$L$7*$L$5*60*$H$7)/(G37*C37*$H$2)</f>
        <v>35.449081273586927</v>
      </c>
      <c r="D43" s="6">
        <f>($L$7*$L$5*$L$3*10^-3*60*$H$7)/(G37*C37)</f>
        <v>125.34086156714865</v>
      </c>
      <c r="E43" s="6">
        <f>((D43/$L$3)*(1+$L$4*U37)/$P$6)*(((Q37/100)*$P$3*$P$7)+((R37/10^6)*$P$4*$P$8))</f>
        <v>4.7626514574177721</v>
      </c>
      <c r="F43" s="6">
        <f>D43-E43</f>
        <v>120.57821010973088</v>
      </c>
      <c r="G43" s="6">
        <f>F43*100/D43</f>
        <v>96.200240370243279</v>
      </c>
      <c r="H43" s="6">
        <f>100-(100/$H$3^(T3-1))</f>
        <v>48.15971125808823</v>
      </c>
      <c r="I43" s="6">
        <f>S43*100/P43</f>
        <v>44.022641860777838</v>
      </c>
      <c r="J43" s="6">
        <f>U43*100/S43</f>
        <v>81.558441558441544</v>
      </c>
      <c r="K43" s="6">
        <f>Q43*100/N43</f>
        <v>23.176799358792575</v>
      </c>
      <c r="L43" s="6">
        <f>S43*100/N43</f>
        <v>20.395583435737468</v>
      </c>
      <c r="M43" s="6">
        <f>U43*100/N43</f>
        <v>16.634319996939126</v>
      </c>
      <c r="N43" s="5">
        <f>D43*10/$H$2</f>
        <v>15.10130862254803</v>
      </c>
      <c r="O43" s="5">
        <f>F43*10/$H$2</f>
        <v>14.527495193943478</v>
      </c>
      <c r="P43" s="5">
        <f>O43*H43/100</f>
        <v>6.9963997384358239</v>
      </c>
      <c r="Q43" s="2">
        <f>M37</f>
        <v>3.5</v>
      </c>
      <c r="R43" s="2">
        <f>N37</f>
        <v>-0.42</v>
      </c>
      <c r="S43" s="2">
        <f>O37</f>
        <v>3.08</v>
      </c>
      <c r="T43" s="5">
        <f>S43-U43</f>
        <v>0.5680000000000005</v>
      </c>
      <c r="U43" s="5">
        <f>(D37*4*3.14*10)/$H$2</f>
        <v>2.5119999999999996</v>
      </c>
      <c r="V43" s="5">
        <f>((G43/100)*(H43/100)*(I43/100)*(J43/100))*100</f>
        <v>16.63431999693913</v>
      </c>
      <c r="W43" s="5">
        <f>W37/($H$2*$D$5)</f>
        <v>0.49445618792201734</v>
      </c>
    </row>
    <row r="44" spans="1:23">
      <c r="B44" s="2">
        <v>1</v>
      </c>
      <c r="C44" s="6">
        <f>(1000*$L$7*$L$5*60*$H$7)/(G38*C38*$H$2)</f>
        <v>41.139272543539072</v>
      </c>
      <c r="D44" s="6">
        <f>($L$7*$L$5*$L$3*10^-3*60*$H$7)/(G38*C38)</f>
        <v>145.46023985944544</v>
      </c>
      <c r="E44" s="6">
        <f>((D44/$L$3)*(1+$L$4*U38)/$P$6)*(((Q38/100)*$P$3*$P$7)+((R38/10^6)*$P$4*$P$8))</f>
        <v>17.173261740637912</v>
      </c>
      <c r="F44" s="6">
        <f t="shared" ref="F44:F45" si="33">D44-E44</f>
        <v>128.28697811880753</v>
      </c>
      <c r="G44" s="6">
        <f t="shared" ref="G44:G45" si="34">F44*100/D44</f>
        <v>88.193844752880921</v>
      </c>
      <c r="H44" s="6">
        <f>100-(100/$H$3^(T4-1))</f>
        <v>46.081401847505347</v>
      </c>
      <c r="I44" s="6">
        <f t="shared" ref="I44:I45" si="35">S44*100/P44</f>
        <v>44.64748035468223</v>
      </c>
      <c r="J44" s="6">
        <f t="shared" ref="J44:J45" si="36">U44*100/S44</f>
        <v>82.08683791770855</v>
      </c>
      <c r="K44" s="6">
        <f t="shared" ref="K44:K45" si="37">Q44*100/N44</f>
        <v>20.541695812458645</v>
      </c>
      <c r="L44" s="6">
        <f t="shared" ref="L44:L45" si="38">S44*100/N44</f>
        <v>18.145164634338467</v>
      </c>
      <c r="M44" s="6">
        <f t="shared" ref="M44:M45" si="39">U44*100/N44</f>
        <v>14.894791883290793</v>
      </c>
      <c r="N44" s="5">
        <f t="shared" ref="N44:N45" si="40">D44*10/$H$2</f>
        <v>17.525330103547642</v>
      </c>
      <c r="O44" s="5">
        <f t="shared" ref="O44:O45" si="41">F44*10/$H$2</f>
        <v>15.456262423952714</v>
      </c>
      <c r="P44" s="5">
        <f t="shared" ref="P44:P45" si="42">O44*H44/100</f>
        <v>7.1224623981866202</v>
      </c>
      <c r="Q44" s="2">
        <f t="shared" ref="Q44" si="43">M38</f>
        <v>3.6</v>
      </c>
      <c r="R44" s="2">
        <f t="shared" ref="R44:R45" si="44">N38</f>
        <v>-0.42</v>
      </c>
      <c r="S44" s="2">
        <f>O38</f>
        <v>3.18</v>
      </c>
      <c r="T44" s="5">
        <f t="shared" ref="T44:T45" si="45">S44-U44</f>
        <v>0.56963855421686782</v>
      </c>
      <c r="U44" s="5">
        <f t="shared" ref="U44:U45" si="46">(D38*4*3.14*10)/$H$2</f>
        <v>2.6103614457831323</v>
      </c>
      <c r="V44" s="5">
        <f t="shared" ref="V44:V45" si="47">((G44/100)*(H44/100)*(I44/100)*(J44/100))*100</f>
        <v>14.894791883290795</v>
      </c>
      <c r="W44" s="5">
        <f>W38/($H$2*$D$5)</f>
        <v>0.49962346224783943</v>
      </c>
    </row>
    <row r="45" spans="1:23">
      <c r="B45" s="2">
        <v>1.1499999999999999</v>
      </c>
      <c r="C45" s="6">
        <f>(1000*$L$7*$L$5*60*$H$7)/(G39*C39*$H$2)</f>
        <v>47.856445346666156</v>
      </c>
      <c r="D45" s="6">
        <f>($L$7*$L$5*$L$3*10^-3*60*$H$7)/(G39*C39)</f>
        <v>169.21081945674217</v>
      </c>
      <c r="E45" s="6">
        <f>((D45/$L$3)*(1+$L$4*U39)/$P$6)*(((Q39/100)*$P$3*$P$7)+((R39/10^6)*$P$4*$P$8))</f>
        <v>33.705309599742549</v>
      </c>
      <c r="F45" s="6">
        <f t="shared" si="33"/>
        <v>135.50550985699962</v>
      </c>
      <c r="G45" s="6">
        <f t="shared" si="34"/>
        <v>80.080877979342731</v>
      </c>
      <c r="H45" s="6">
        <f>100-(100/$H$3^(T5-1))</f>
        <v>43.919771720334204</v>
      </c>
      <c r="I45" s="6">
        <f t="shared" si="35"/>
        <v>45.325690045373264</v>
      </c>
      <c r="J45" s="6">
        <f t="shared" si="36"/>
        <v>82.414087117701584</v>
      </c>
      <c r="K45" s="6">
        <f t="shared" si="37"/>
        <v>18.001803961352003</v>
      </c>
      <c r="L45" s="6">
        <f t="shared" si="38"/>
        <v>15.941652009371666</v>
      </c>
      <c r="M45" s="6">
        <f t="shared" si="39"/>
        <v>13.138166975004388</v>
      </c>
      <c r="N45" s="5">
        <f t="shared" si="40"/>
        <v>20.38684571767978</v>
      </c>
      <c r="O45" s="5">
        <f t="shared" si="41"/>
        <v>16.325965043012005</v>
      </c>
      <c r="P45" s="5">
        <f t="shared" si="42"/>
        <v>7.1703265780324337</v>
      </c>
      <c r="Q45" s="2">
        <v>3.67</v>
      </c>
      <c r="R45" s="2">
        <f t="shared" si="44"/>
        <v>-0.42</v>
      </c>
      <c r="S45" s="2">
        <v>3.25</v>
      </c>
      <c r="T45" s="5">
        <f t="shared" si="45"/>
        <v>0.57154216867469865</v>
      </c>
      <c r="U45" s="5">
        <f t="shared" si="46"/>
        <v>2.6784578313253014</v>
      </c>
      <c r="V45" s="5">
        <f t="shared" si="47"/>
        <v>13.138166975004392</v>
      </c>
      <c r="W45" s="5">
        <f>W39/($H$2*$D$5)</f>
        <v>0.48912989349667496</v>
      </c>
    </row>
    <row r="47" spans="1:23">
      <c r="B47" s="2" t="s">
        <v>3</v>
      </c>
      <c r="C47" s="2"/>
      <c r="D47" s="2" t="s">
        <v>86</v>
      </c>
      <c r="E47" s="2" t="s">
        <v>10</v>
      </c>
      <c r="F47" s="2" t="s">
        <v>60</v>
      </c>
      <c r="H47" s="2" t="s">
        <v>3</v>
      </c>
      <c r="I47" s="2"/>
      <c r="J47" s="2" t="s">
        <v>86</v>
      </c>
      <c r="K47" s="2" t="s">
        <v>10</v>
      </c>
      <c r="L47" s="2" t="s">
        <v>60</v>
      </c>
      <c r="N47" s="2" t="s">
        <v>3</v>
      </c>
      <c r="O47" s="2"/>
      <c r="P47" s="2" t="s">
        <v>86</v>
      </c>
      <c r="Q47" s="2" t="s">
        <v>10</v>
      </c>
      <c r="R47" s="2" t="s">
        <v>60</v>
      </c>
    </row>
    <row r="48" spans="1:23">
      <c r="B48" s="2">
        <v>0.85</v>
      </c>
      <c r="C48" s="1" t="s">
        <v>87</v>
      </c>
      <c r="D48" s="6">
        <v>51.1</v>
      </c>
      <c r="E48" s="2">
        <v>5.1100000000000003</v>
      </c>
      <c r="F48" s="2">
        <v>4.54</v>
      </c>
      <c r="H48" s="2">
        <v>1</v>
      </c>
      <c r="I48" s="1" t="s">
        <v>87</v>
      </c>
      <c r="J48" s="6">
        <v>59.7</v>
      </c>
      <c r="K48" s="2">
        <v>5.42</v>
      </c>
      <c r="L48" s="2">
        <v>4.8499999999999996</v>
      </c>
      <c r="N48" s="2">
        <v>1.1499999999999999</v>
      </c>
      <c r="O48" s="1" t="s">
        <v>87</v>
      </c>
      <c r="P48" s="6">
        <v>68.400000000000006</v>
      </c>
      <c r="Q48" s="2">
        <v>5.64</v>
      </c>
      <c r="R48" s="2">
        <v>5.07</v>
      </c>
    </row>
    <row r="49" spans="2:18">
      <c r="B49" s="2"/>
      <c r="C49" s="2" t="s">
        <v>88</v>
      </c>
      <c r="D49" s="2">
        <v>44.1</v>
      </c>
      <c r="E49" s="2">
        <v>4.26</v>
      </c>
      <c r="F49" s="2">
        <v>3.69</v>
      </c>
      <c r="H49" s="2"/>
      <c r="I49" s="2" t="s">
        <v>88</v>
      </c>
      <c r="J49" s="2">
        <v>50.3</v>
      </c>
      <c r="K49" s="2">
        <v>4.38</v>
      </c>
      <c r="L49" s="2">
        <v>3.81</v>
      </c>
      <c r="N49" s="2"/>
      <c r="O49" s="2" t="s">
        <v>88</v>
      </c>
      <c r="P49" s="2">
        <v>59.6</v>
      </c>
      <c r="Q49" s="2">
        <v>4.54</v>
      </c>
      <c r="R49" s="2">
        <v>3.98</v>
      </c>
    </row>
    <row r="50" spans="2:18">
      <c r="B50" s="2"/>
      <c r="C50" s="2" t="s">
        <v>89</v>
      </c>
      <c r="D50" s="2">
        <v>35.4</v>
      </c>
      <c r="E50" s="2">
        <v>3.08</v>
      </c>
      <c r="F50" s="2">
        <v>2.5099999999999998</v>
      </c>
      <c r="H50" s="2"/>
      <c r="I50" s="2" t="s">
        <v>89</v>
      </c>
      <c r="J50" s="2">
        <v>41.1</v>
      </c>
      <c r="K50" s="2">
        <v>3.18</v>
      </c>
      <c r="L50" s="2">
        <v>2.61</v>
      </c>
      <c r="N50" s="2"/>
      <c r="O50" s="2" t="s">
        <v>89</v>
      </c>
      <c r="P50" s="2">
        <v>47.9</v>
      </c>
      <c r="Q50" s="2">
        <v>3.25</v>
      </c>
      <c r="R50" s="2">
        <v>2.68</v>
      </c>
    </row>
  </sheetData>
  <mergeCells count="5">
    <mergeCell ref="B1:D1"/>
    <mergeCell ref="F1:H1"/>
    <mergeCell ref="J1:L1"/>
    <mergeCell ref="N1:P1"/>
    <mergeCell ref="R1:T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K3:N47"/>
  <sheetViews>
    <sheetView tabSelected="1" workbookViewId="0">
      <selection activeCell="K31" sqref="K31"/>
    </sheetView>
  </sheetViews>
  <sheetFormatPr baseColWidth="10" defaultRowHeight="15"/>
  <sheetData>
    <row r="3" spans="11:14">
      <c r="K3" s="6" t="s">
        <v>99</v>
      </c>
      <c r="L3" s="2">
        <v>0.85</v>
      </c>
      <c r="M3" s="2">
        <v>1</v>
      </c>
      <c r="N3" s="2">
        <v>1.1499999999999999</v>
      </c>
    </row>
    <row r="4" spans="11:14">
      <c r="K4" s="2">
        <v>0</v>
      </c>
      <c r="L4" s="2">
        <f>(0.1296*K4)-2.0598</f>
        <v>-2.0598000000000001</v>
      </c>
      <c r="M4" s="2">
        <f>(0.1204*K4)-2.3072</f>
        <v>-2.3071999999999999</v>
      </c>
      <c r="N4" s="2">
        <f>(0.1163*K4)-2.9086</f>
        <v>-2.9085999999999999</v>
      </c>
    </row>
    <row r="5" spans="11:14">
      <c r="K5" s="2">
        <v>10</v>
      </c>
      <c r="L5" s="2">
        <f t="shared" ref="L5:L11" si="0">(0.1296*K5)-2.0598</f>
        <v>-0.76380000000000026</v>
      </c>
      <c r="M5" s="2">
        <f t="shared" ref="M5:M11" si="1">(0.1204*K5)-2.3072</f>
        <v>-1.1032</v>
      </c>
      <c r="N5" s="2">
        <f t="shared" ref="N5:N11" si="2">(0.1163*K5)-2.9086</f>
        <v>-1.7455999999999998</v>
      </c>
    </row>
    <row r="6" spans="11:14">
      <c r="K6" s="2">
        <v>20</v>
      </c>
      <c r="L6" s="2">
        <f t="shared" si="0"/>
        <v>0.53219999999999956</v>
      </c>
      <c r="M6" s="2">
        <f t="shared" si="1"/>
        <v>0.1008</v>
      </c>
      <c r="N6" s="2">
        <f t="shared" si="2"/>
        <v>-0.58259999999999978</v>
      </c>
    </row>
    <row r="7" spans="11:14">
      <c r="K7" s="2">
        <v>30</v>
      </c>
      <c r="L7" s="2">
        <f t="shared" si="0"/>
        <v>1.8281999999999998</v>
      </c>
      <c r="M7" s="2">
        <f t="shared" si="1"/>
        <v>1.3047999999999997</v>
      </c>
      <c r="N7" s="2">
        <f t="shared" si="2"/>
        <v>0.58040000000000003</v>
      </c>
    </row>
    <row r="8" spans="11:14">
      <c r="K8" s="2">
        <v>40</v>
      </c>
      <c r="L8" s="2">
        <f t="shared" si="0"/>
        <v>3.1241999999999992</v>
      </c>
      <c r="M8" s="2">
        <f t="shared" si="1"/>
        <v>2.5087999999999999</v>
      </c>
      <c r="N8" s="2">
        <f t="shared" si="2"/>
        <v>1.7434000000000003</v>
      </c>
    </row>
    <row r="9" spans="11:14">
      <c r="K9" s="2">
        <v>50</v>
      </c>
      <c r="L9" s="2">
        <f t="shared" si="0"/>
        <v>4.4201999999999995</v>
      </c>
      <c r="M9" s="2">
        <f t="shared" si="1"/>
        <v>3.7127999999999997</v>
      </c>
      <c r="N9" s="2">
        <f t="shared" si="2"/>
        <v>2.9064000000000005</v>
      </c>
    </row>
    <row r="10" spans="11:14">
      <c r="K10" s="2">
        <v>60</v>
      </c>
      <c r="L10" s="2">
        <f t="shared" si="0"/>
        <v>5.7161999999999997</v>
      </c>
      <c r="M10" s="2">
        <f t="shared" si="1"/>
        <v>4.9167999999999994</v>
      </c>
      <c r="N10" s="2">
        <f t="shared" si="2"/>
        <v>4.0693999999999999</v>
      </c>
    </row>
    <row r="11" spans="11:14">
      <c r="K11" s="2">
        <v>70</v>
      </c>
      <c r="L11" s="2">
        <f t="shared" si="0"/>
        <v>7.0121999999999991</v>
      </c>
      <c r="M11" s="2">
        <f t="shared" si="1"/>
        <v>6.1207999999999991</v>
      </c>
      <c r="N11" s="2">
        <f t="shared" si="2"/>
        <v>5.2324000000000002</v>
      </c>
    </row>
    <row r="13" spans="11:14">
      <c r="M13" s="1"/>
      <c r="N13" s="1"/>
    </row>
    <row r="14" spans="11:14">
      <c r="M14" s="1"/>
      <c r="N14" s="1"/>
    </row>
    <row r="15" spans="11:14">
      <c r="M15" s="1"/>
      <c r="N15" s="1"/>
    </row>
    <row r="16" spans="11:14">
      <c r="M16" s="1"/>
      <c r="N16" s="1"/>
    </row>
    <row r="17" spans="11:14">
      <c r="M17" s="1"/>
      <c r="N17" s="1"/>
    </row>
    <row r="18" spans="11:14">
      <c r="M18" s="1"/>
      <c r="N18" s="1"/>
    </row>
    <row r="19" spans="11:14">
      <c r="M19" s="1"/>
      <c r="N19" s="1"/>
    </row>
    <row r="20" spans="11:14">
      <c r="M20" s="1"/>
      <c r="N20" s="1"/>
    </row>
    <row r="21" spans="11:14">
      <c r="M21" s="1"/>
      <c r="N21" s="1"/>
    </row>
    <row r="31" spans="11:14">
      <c r="K31" s="2" t="s">
        <v>99</v>
      </c>
      <c r="L31" s="2" t="s">
        <v>90</v>
      </c>
    </row>
    <row r="32" spans="11:14">
      <c r="K32" s="27">
        <v>0</v>
      </c>
      <c r="L32" s="2">
        <f>0.426*K32</f>
        <v>0</v>
      </c>
    </row>
    <row r="33" spans="11:13">
      <c r="K33" s="27">
        <v>10</v>
      </c>
      <c r="L33" s="2">
        <f t="shared" ref="L33:L39" si="3">0.426*K33</f>
        <v>4.26</v>
      </c>
    </row>
    <row r="34" spans="11:13">
      <c r="K34" s="27">
        <v>20</v>
      </c>
      <c r="L34" s="2">
        <f t="shared" si="3"/>
        <v>8.52</v>
      </c>
    </row>
    <row r="35" spans="11:13">
      <c r="K35" s="27">
        <v>30</v>
      </c>
      <c r="L35" s="2">
        <f t="shared" si="3"/>
        <v>12.78</v>
      </c>
    </row>
    <row r="36" spans="11:13">
      <c r="K36" s="27">
        <v>40</v>
      </c>
      <c r="L36" s="2">
        <f t="shared" si="3"/>
        <v>17.04</v>
      </c>
    </row>
    <row r="37" spans="11:13">
      <c r="K37" s="27">
        <v>50</v>
      </c>
      <c r="L37" s="2">
        <f t="shared" si="3"/>
        <v>21.3</v>
      </c>
    </row>
    <row r="38" spans="11:13">
      <c r="K38" s="27">
        <v>60</v>
      </c>
      <c r="L38" s="2">
        <f t="shared" si="3"/>
        <v>25.56</v>
      </c>
    </row>
    <row r="39" spans="11:13">
      <c r="K39" s="27">
        <v>70</v>
      </c>
      <c r="L39" s="2">
        <f t="shared" si="3"/>
        <v>29.82</v>
      </c>
    </row>
    <row r="42" spans="11:13">
      <c r="K42" s="17">
        <v>59.7</v>
      </c>
      <c r="L42" s="2">
        <v>25.43</v>
      </c>
      <c r="M42" s="2" t="s">
        <v>55</v>
      </c>
    </row>
    <row r="43" spans="11:13">
      <c r="K43" s="17">
        <v>59.7</v>
      </c>
      <c r="L43" s="2">
        <v>23.65</v>
      </c>
      <c r="M43" s="2" t="s">
        <v>56</v>
      </c>
    </row>
    <row r="44" spans="11:13">
      <c r="K44" s="17">
        <v>59.7</v>
      </c>
      <c r="L44" s="2">
        <v>10.9</v>
      </c>
      <c r="M44" s="2" t="s">
        <v>57</v>
      </c>
    </row>
    <row r="45" spans="11:13">
      <c r="K45" s="17">
        <v>59.7</v>
      </c>
      <c r="L45" s="2">
        <v>5.58</v>
      </c>
      <c r="M45" s="2" t="s">
        <v>91</v>
      </c>
    </row>
    <row r="46" spans="11:13">
      <c r="K46" s="17">
        <v>59.7</v>
      </c>
      <c r="L46" s="2">
        <v>5.42</v>
      </c>
      <c r="M46" s="2" t="s">
        <v>10</v>
      </c>
    </row>
    <row r="47" spans="11:13">
      <c r="K47" s="17">
        <v>59.7</v>
      </c>
      <c r="L47" s="2">
        <v>4.8499999999999996</v>
      </c>
      <c r="M47" s="2" t="s">
        <v>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</vt:lpstr>
      <vt:lpstr>Courbes</vt:lpstr>
    </vt:vector>
  </TitlesOfParts>
  <Company>JOLIVERIE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mfardeau</dc:creator>
  <cp:lastModifiedBy>mfardeau</cp:lastModifiedBy>
  <cp:lastPrinted>2017-11-23T11:10:58Z</cp:lastPrinted>
  <dcterms:created xsi:type="dcterms:W3CDTF">2017-10-14T09:10:04Z</dcterms:created>
  <dcterms:modified xsi:type="dcterms:W3CDTF">2018-03-18T18:10:04Z</dcterms:modified>
</cp:coreProperties>
</file>