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Helene\Documents\Synchro-Satie\2026-2027\"/>
    </mc:Choice>
  </mc:AlternateContent>
  <xr:revisionPtr revIDLastSave="0" documentId="13_ncr:1_{1D540759-FEEC-4723-AA89-E4C1F474AFEB}" xr6:coauthVersionLast="36" xr6:coauthVersionMax="47" xr10:uidLastSave="{00000000-0000-0000-0000-000000000000}"/>
  <bookViews>
    <workbookView xWindow="-108" yWindow="-108" windowWidth="23256" windowHeight="12576" xr2:uid="{9BBAE00A-4049-4B68-96A5-BE740FADBAEE}"/>
  </bookViews>
  <sheets>
    <sheet name="How to" sheetId="5" r:id="rId1"/>
    <sheet name="Outil de calcul" sheetId="1" r:id="rId2"/>
    <sheet name="Outil de comparaison" sheetId="4" r:id="rId3"/>
    <sheet name="Données et calculs" sheetId="3" r:id="rId4"/>
  </sheets>
  <definedNames>
    <definedName name="_Hlk219105351" localSheetId="0">'How to'!$B$14</definedName>
    <definedName name="solver_adj" localSheetId="3" hidden="1">'Données et calculs'!$C$30</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'Données et calculs'!$C$28</definedName>
    <definedName name="solver_pre" localSheetId="3" hidden="1">0.000001</definedName>
    <definedName name="solver_rbv"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definedName>
    <definedName name="solver_ver" localSheetId="3" hidden="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1" l="1"/>
  <c r="Q9" i="3" l="1"/>
  <c r="Q13" i="3"/>
  <c r="Q5" i="3"/>
  <c r="Q6" i="3"/>
  <c r="Q16" i="3" l="1"/>
  <c r="Q10" i="3"/>
  <c r="Q14" i="3"/>
  <c r="C4" i="3"/>
  <c r="C12" i="3" l="1"/>
  <c r="C11" i="3"/>
  <c r="C9" i="3"/>
  <c r="C8" i="3"/>
  <c r="T13" i="1" s="1"/>
  <c r="C10" i="3"/>
  <c r="C5" i="3"/>
  <c r="C7" i="3" s="1"/>
  <c r="C6" i="3"/>
  <c r="L37" i="3" l="1"/>
  <c r="L31" i="3"/>
  <c r="L25" i="3"/>
  <c r="L19" i="3"/>
  <c r="L13" i="3"/>
  <c r="L7" i="3"/>
  <c r="L38" i="3" l="1"/>
  <c r="L32" i="3"/>
  <c r="L26" i="3"/>
  <c r="L8" i="3"/>
  <c r="L20" i="3"/>
  <c r="L14" i="3"/>
  <c r="L17" i="3"/>
  <c r="L11" i="3"/>
  <c r="L5" i="3"/>
  <c r="L36" i="3"/>
  <c r="L30" i="3"/>
  <c r="L24" i="3"/>
  <c r="L35" i="3"/>
  <c r="L29" i="3"/>
  <c r="L23" i="3"/>
  <c r="C19" i="3"/>
  <c r="G34" i="3"/>
  <c r="C17" i="3"/>
  <c r="C16" i="3"/>
  <c r="E49" i="3"/>
  <c r="E48" i="3"/>
  <c r="H48" i="3" s="1"/>
  <c r="E47" i="3"/>
  <c r="E46" i="3"/>
  <c r="J46" i="3" s="1"/>
  <c r="E45" i="3"/>
  <c r="L45" i="3" s="1"/>
  <c r="L49" i="3" l="1"/>
  <c r="H49" i="3"/>
  <c r="I47" i="3"/>
  <c r="H47" i="3"/>
  <c r="P19" i="1"/>
  <c r="P17" i="1"/>
  <c r="P21" i="1"/>
  <c r="I49" i="3"/>
  <c r="J49" i="3"/>
  <c r="K49" i="3"/>
  <c r="I48" i="3"/>
  <c r="J48" i="3"/>
  <c r="K48" i="3"/>
  <c r="L48" i="3"/>
  <c r="J47" i="3"/>
  <c r="K47" i="3"/>
  <c r="L47" i="3"/>
  <c r="K46" i="3"/>
  <c r="H46" i="3"/>
  <c r="I46" i="3"/>
  <c r="L46" i="3"/>
  <c r="J45" i="3"/>
  <c r="H45" i="3"/>
  <c r="I45" i="3"/>
  <c r="K45" i="3"/>
  <c r="C18" i="3" l="1"/>
  <c r="G30" i="3"/>
  <c r="G25" i="3"/>
  <c r="G20" i="3"/>
  <c r="G15" i="3"/>
  <c r="G10" i="3"/>
  <c r="G5" i="3"/>
  <c r="G29" i="3"/>
  <c r="G24" i="3"/>
  <c r="G19" i="3"/>
  <c r="G14" i="3"/>
  <c r="G9" i="3"/>
  <c r="G4" i="3"/>
  <c r="C20" i="3" l="1"/>
  <c r="C22" i="3"/>
  <c r="C21" i="3" l="1"/>
  <c r="P13" i="1" s="1"/>
  <c r="R13" i="1" s="1"/>
  <c r="V13" i="1" s="1" a="1"/>
  <c r="V13" i="1" s="1"/>
  <c r="P15" i="1"/>
  <c r="R15" i="1" s="1"/>
  <c r="V15" i="1" s="1" a="1"/>
  <c r="V15" i="1"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<sst xmlns="http://schemas.openxmlformats.org/spreadsheetml/2006/main" count="272" uniqueCount="120">
  <si>
    <t>IPE 180</t>
  </si>
  <si>
    <t>IPE 120</t>
  </si>
  <si>
    <t>IPE 140</t>
  </si>
  <si>
    <t>IPE 240</t>
  </si>
  <si>
    <t>IPE 300</t>
  </si>
  <si>
    <t>IPE 400</t>
  </si>
  <si>
    <t>A</t>
  </si>
  <si>
    <t>m^2</t>
  </si>
  <si>
    <t>m^4</t>
  </si>
  <si>
    <t>S235</t>
  </si>
  <si>
    <t>MPa</t>
  </si>
  <si>
    <t>IGy</t>
  </si>
  <si>
    <t>G</t>
  </si>
  <si>
    <t>kg/m</t>
  </si>
  <si>
    <t>Acier, IPE</t>
  </si>
  <si>
    <t>GWP</t>
  </si>
  <si>
    <t>kgCO2eq/kg</t>
  </si>
  <si>
    <t>Prix</t>
  </si>
  <si>
    <t>€/kg</t>
  </si>
  <si>
    <t>Outil de choix de matériaux</t>
  </si>
  <si>
    <t>Application : poutre en flexion simple</t>
  </si>
  <si>
    <t>L</t>
  </si>
  <si>
    <t>m</t>
  </si>
  <si>
    <t>F</t>
  </si>
  <si>
    <t>N</t>
  </si>
  <si>
    <t>p</t>
  </si>
  <si>
    <t>N/m</t>
  </si>
  <si>
    <t>Poids propre ?</t>
  </si>
  <si>
    <t>Acier</t>
  </si>
  <si>
    <t>S355</t>
  </si>
  <si>
    <t>S460</t>
  </si>
  <si>
    <t>Béton armé</t>
  </si>
  <si>
    <t>Bois</t>
  </si>
  <si>
    <t>Section de la poutre</t>
  </si>
  <si>
    <t xml:space="preserve">Matériau n°1 </t>
  </si>
  <si>
    <t>Nom</t>
  </si>
  <si>
    <t>Contrainte maximale</t>
  </si>
  <si>
    <t>Contrainte maximale (MPa)</t>
  </si>
  <si>
    <t>Flèche maximale (mm)</t>
  </si>
  <si>
    <t>Masse poutre (kg)</t>
  </si>
  <si>
    <t>Émissions de CO2 (kgCO2eq)</t>
  </si>
  <si>
    <t>Prix (€)</t>
  </si>
  <si>
    <t xml:space="preserve">Matériau n°5 </t>
  </si>
  <si>
    <t xml:space="preserve">Matériau n°2 </t>
  </si>
  <si>
    <t xml:space="preserve">Matériau n°4 </t>
  </si>
  <si>
    <t xml:space="preserve">Matériau n°3 </t>
  </si>
  <si>
    <t>Numéro</t>
  </si>
  <si>
    <t>Tableau récapitulatif pour comparaison des résultats</t>
  </si>
  <si>
    <t>Graphe radar</t>
  </si>
  <si>
    <t>Max de tout le tableau</t>
  </si>
  <si>
    <t>%</t>
  </si>
  <si>
    <t>Flèche maximale</t>
  </si>
  <si>
    <t>Masse poutre</t>
  </si>
  <si>
    <t>Émissions de CO2</t>
  </si>
  <si>
    <t>Données du problème</t>
  </si>
  <si>
    <t>Résultats</t>
  </si>
  <si>
    <t>mm</t>
  </si>
  <si>
    <t xml:space="preserve">Masse : </t>
  </si>
  <si>
    <t>kg</t>
  </si>
  <si>
    <t xml:space="preserve">CO2 : </t>
  </si>
  <si>
    <t>kgCO2eq</t>
  </si>
  <si>
    <t xml:space="preserve">Prix : </t>
  </si>
  <si>
    <t>€</t>
  </si>
  <si>
    <t>Section choisie</t>
  </si>
  <si>
    <t>g</t>
  </si>
  <si>
    <t>sigma max</t>
  </si>
  <si>
    <t>h</t>
  </si>
  <si>
    <t>E</t>
  </si>
  <si>
    <t>Pa</t>
  </si>
  <si>
    <t>f max</t>
  </si>
  <si>
    <t>Calculs</t>
  </si>
  <si>
    <t>Mmax</t>
  </si>
  <si>
    <t>Pin massif</t>
  </si>
  <si>
    <t>Chêne massif</t>
  </si>
  <si>
    <t>Epicéa massif</t>
  </si>
  <si>
    <t>GL24h</t>
  </si>
  <si>
    <t>https://www.researchgate.net/figure/Mechanical-properties-of-materials-GL24h-GL28h-GL32h-Glued-Laminated-Timber-grades_tbl1_339994559?__cf_chl_tk=niwaSVCycflSTh7lVuv8IfAuovrpUgF1ZDhHzHhozTk-1747433748-1.0.1.1-dTnbIwhFdOPJhyH5SMbZTTJOIPQY4auv7F3FpGldCv4</t>
  </si>
  <si>
    <t>GL28h</t>
  </si>
  <si>
    <t>GL32h</t>
  </si>
  <si>
    <t>100*200 mm²</t>
  </si>
  <si>
    <t>150*300 mm²</t>
  </si>
  <si>
    <t>200*400 mm²</t>
  </si>
  <si>
    <t>Epicea massif</t>
  </si>
  <si>
    <t>ftok</t>
  </si>
  <si>
    <t>kg/m^3</t>
  </si>
  <si>
    <t>chrome-extension://efaidnbmnnnibpcajpcglclefindmkaj/https://www.lignum.ch/files/_migrated/content_uploads/Propri%C3%A9t%C3%A9s_m%C3%A9caniques_du_bois_01.pdf</t>
  </si>
  <si>
    <t>https://fr.wikipedia.org/wiki/Densit%C3%A9_du_bois#:~:text=Les%20bois%20ont%20des%20masses,et%20800%20kg%2Fm3.</t>
  </si>
  <si>
    <t>chrome-extension://efaidnbmnnnibpcajpcglclefindmkaj/https://www.forestiere-cdc.fr/sites/default/files/2019-04/indicateur2019_prix%20des%20bois.pdf</t>
  </si>
  <si>
    <t>https://www.chausson.fr/materiaux/lamelle-colle-sapin-gl24h-bois-non-traite-90x320mm-p-66025-7</t>
  </si>
  <si>
    <t>Ne cocher qu'UNE SEULE SECTION (si vous en cochez plus, les résultats données seront FAUX)</t>
  </si>
  <si>
    <t>Flèche limite</t>
  </si>
  <si>
    <t>Modélisation de la poutre</t>
  </si>
  <si>
    <t>!!!!!!!!!!!!!! NE JAMAIS TOUCHER D'AUTRES CASES QUE CELLES INDIQUÉES DANS CES CONSIGNES !!!!!!!!!!!!!!!!!!!</t>
  </si>
  <si>
    <t>fcok</t>
  </si>
  <si>
    <r>
      <rPr>
        <u/>
        <sz val="11"/>
        <color theme="1"/>
        <rFont val="Calibri"/>
        <family val="2"/>
        <scheme val="minor"/>
      </rPr>
      <t>Dans la feuille "Outil de calcul" :</t>
    </r>
    <r>
      <rPr>
        <sz val="11"/>
        <color theme="1"/>
        <rFont val="Calibri"/>
        <family val="2"/>
        <scheme val="minor"/>
      </rPr>
      <t xml:space="preserve">
• Remplissez le tableau "Modélisation de la poutre", puis "Flèche limite" (uiquement la colonne centrale), et cochez si vous souhaitez prendre en compte le poids propre dans le calcul mécanique ou non.
• Choisissez le matériau et la section souhaitée pour la poutre en cochant les cases du tableau "Section de la poutre". ATTENTION : vous ne devez sélectionner qu'UNE SEULE SECTION (par exemple, si vous sélectionnez IPE 120 et GL24h, le calculateur ne comprendra pas et les résultats seront faux).
• Les résultats s'affichent automatiquement dans le cadre "Résultats".
</t>
    </r>
    <r>
      <rPr>
        <u/>
        <sz val="11"/>
        <color theme="1"/>
        <rFont val="Calibri"/>
        <family val="2"/>
        <scheme val="minor"/>
      </rPr>
      <t xml:space="preserve">Dans la feuille "Outil de comparaison" : </t>
    </r>
    <r>
      <rPr>
        <sz val="11"/>
        <color theme="1"/>
        <rFont val="Calibri"/>
        <family val="2"/>
        <scheme val="minor"/>
      </rPr>
      <t xml:space="preserve">
• Pour effectuer une comparaison visuelle de différents matériaux pour votre cas d'étude, copiez les résultats précédement obtenus dans le "Tableau récapitulatif pour la comparaison de matériaux", sous la colonne "Matériau 1".
• Répéter les étapes précédentes pour d'autres matériaux ou sections (dans la limite de 5 cas).
• Le graphe radar de comparaison se trace automatiquement.</t>
    </r>
  </si>
  <si>
    <t xml:space="preserve">Conseils pour utiliser correctement cet outil </t>
  </si>
  <si>
    <t>C30/37</t>
  </si>
  <si>
    <t>C40/50</t>
  </si>
  <si>
    <t>C35/45</t>
  </si>
  <si>
    <t>C35/45 + 2% acier</t>
  </si>
  <si>
    <t>C30/37 + 2% acier</t>
  </si>
  <si>
    <t>C40/50 + 2% acier</t>
  </si>
  <si>
    <t>ft</t>
  </si>
  <si>
    <t>Bois (h = 2b)</t>
  </si>
  <si>
    <t>Prix armatures</t>
  </si>
  <si>
    <t>Béton et armatures (2% en masse de béton, h = 2b)</t>
  </si>
  <si>
    <t>L (entre 1 et 7 m)</t>
  </si>
  <si>
    <t>p (entre 0 et 2 kN/m)</t>
  </si>
  <si>
    <t>F (entre 0 et 10 kN)</t>
  </si>
  <si>
    <t>Formulaire</t>
  </si>
  <si>
    <t>Schéma de la poutre</t>
  </si>
  <si>
    <t>Prix matériau seulement (€)</t>
  </si>
  <si>
    <t>Coefficient de sécurité</t>
  </si>
  <si>
    <t>Sécurité</t>
  </si>
  <si>
    <t>Re</t>
  </si>
  <si>
    <t>IPE 140 S235</t>
  </si>
  <si>
    <t>C40/50 200*400 cm²</t>
  </si>
  <si>
    <t>GL24h 150*300 cm²</t>
  </si>
  <si>
    <t>https://sti.eduscol.education.fr/si-ens-paris-saclay/ressources_pedagogiques/facade-vegetalisees-en-beton-impression-3d-exploitation-pedagogique</t>
  </si>
  <si>
    <r>
      <t>Edité le 14/09/2026. Cette ressource est une annexe à la ressource « </t>
    </r>
    <r>
      <rPr>
        <b/>
        <sz val="11"/>
        <color theme="1"/>
        <rFont val="Trebuchet MS"/>
        <family val="2"/>
      </rPr>
      <t>Façade végétalisée en Béton impression 3D – Exploitation pédagogique en pré-bac STI2D AC</t>
    </r>
    <r>
      <rPr>
        <sz val="11"/>
        <color theme="1"/>
        <rFont val="Trebuchet MS"/>
        <family val="2"/>
      </rPr>
      <t> », E. Celeschi, C. Desodt, H. Horsin Molinaro,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</si>
</sst>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1"/>
      <color theme="1"/>
      <name val="Calibri"/>
      <family val="2"/>
      <scheme val="minor"/>
    </font>
    <font>
      <sz val="10"/>
      <color rgb="FF212121"/>
      <name val="Arial"/>
      <family val="2"/>
    </font>
    <font>
      <b/>
      <sz val="18"/>
      <color theme="1"/>
      <name val="Calibri"/>
      <family val="2"/>
      <scheme val="minor"/>
    </font>
    <font>
      <b/>
      <sz val="16"/>
      <color theme="1"/>
      <name val="Calibri"/>
      <family val="2"/>
      <scheme val="minor"/>
    </font>
    <font>
      <sz val="11"/>
      <color theme="0"/>
      <name val="Calibri"/>
      <family val="2"/>
      <scheme val="minor"/>
    </font>
    <font>
      <b/>
      <sz val="11"/>
      <color theme="0"/>
      <name val="Calibri"/>
      <family val="2"/>
      <scheme val="minor"/>
    </font>
    <font>
      <u/>
      <sz val="11"/>
      <color theme="1"/>
      <name val="Calibri"/>
      <family val="2"/>
      <scheme val="minor"/>
    </font>
    <font>
      <sz val="11"/>
      <color theme="1"/>
      <name val="Trebuchet MS"/>
      <family val="2"/>
    </font>
    <font>
      <u/>
      <sz val="11"/>
      <color theme="10"/>
      <name val="Calibri"/>
      <family val="2"/>
      <scheme val="minor"/>
    </font>
    <font>
      <b/>
      <sz val="11"/>
      <color theme="1"/>
      <name val="Trebuchet MS"/>
      <family val="2"/>
    </font>
  </fonts>
  <fills count="12">
    <fill>
      <patternFill patternType="none"/>
    </fill>
    <fill>
      <patternFill patternType="gray125"/>
    </fill>
    <fill>
      <patternFill patternType="solid">
        <fgColor theme="9" tint="0.59999389629810485"/>
        <bgColor indexed="64"/>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0000"/>
        <bgColor indexed="64"/>
      </patternFill>
    </fill>
    <fill>
      <patternFill patternType="solid">
        <fgColor theme="7" tint="0.59999389629810485"/>
        <bgColor indexed="64"/>
      </patternFill>
    </fill>
    <fill>
      <patternFill patternType="solid">
        <fgColor theme="8"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110">
    <xf numFmtId="0" fontId="0" fillId="0" borderId="0" xfId="0"/>
    <xf numFmtId="0" fontId="0" fillId="0" borderId="1" xfId="0" applyBorder="1"/>
    <xf numFmtId="0" fontId="0" fillId="0" borderId="5" xfId="0" applyBorder="1"/>
    <xf numFmtId="0" fontId="0" fillId="0" borderId="6" xfId="0" applyBorder="1"/>
    <xf numFmtId="0" fontId="0" fillId="0" borderId="8" xfId="0" applyBorder="1"/>
    <xf numFmtId="0" fontId="0" fillId="0" borderId="10" xfId="0" applyBorder="1"/>
    <xf numFmtId="0" fontId="0" fillId="0" borderId="11" xfId="0" applyBorder="1"/>
    <xf numFmtId="0" fontId="0" fillId="0" borderId="2" xfId="0" applyBorder="1"/>
    <xf numFmtId="0" fontId="0" fillId="0" borderId="3" xfId="0" applyBorder="1"/>
    <xf numFmtId="0" fontId="0" fillId="0" borderId="4" xfId="0" applyBorder="1"/>
    <xf numFmtId="0" fontId="0" fillId="0" borderId="15" xfId="0" applyBorder="1"/>
    <xf numFmtId="0" fontId="2" fillId="0" borderId="1" xfId="0" applyFont="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xf numFmtId="0" fontId="0" fillId="4" borderId="6" xfId="0" applyFill="1" applyBorder="1"/>
    <xf numFmtId="0" fontId="0" fillId="4" borderId="15" xfId="0" applyFill="1" applyBorder="1"/>
    <xf numFmtId="0" fontId="0" fillId="4" borderId="16" xfId="0" applyFill="1" applyBorder="1"/>
    <xf numFmtId="0" fontId="0" fillId="4" borderId="17" xfId="0" applyFill="1" applyBorder="1"/>
    <xf numFmtId="0" fontId="0" fillId="0" borderId="19" xfId="0" applyBorder="1"/>
    <xf numFmtId="0" fontId="0" fillId="0" borderId="21" xfId="0" applyBorder="1"/>
    <xf numFmtId="0" fontId="0" fillId="0" borderId="17" xfId="0" applyBorder="1"/>
    <xf numFmtId="0" fontId="0" fillId="6" borderId="22" xfId="0" applyFill="1" applyBorder="1"/>
    <xf numFmtId="0" fontId="0" fillId="6" borderId="23" xfId="0" applyFill="1" applyBorder="1"/>
    <xf numFmtId="0" fontId="0" fillId="6" borderId="7" xfId="0" applyFill="1" applyBorder="1"/>
    <xf numFmtId="0" fontId="0" fillId="6" borderId="9" xfId="0" applyFill="1" applyBorder="1"/>
    <xf numFmtId="0" fontId="0" fillId="3" borderId="27" xfId="0" applyFill="1" applyBorder="1"/>
    <xf numFmtId="0" fontId="0" fillId="3" borderId="7" xfId="0" applyFill="1" applyBorder="1"/>
    <xf numFmtId="0" fontId="0" fillId="3" borderId="9" xfId="0" applyFill="1" applyBorder="1"/>
    <xf numFmtId="0" fontId="0" fillId="3" borderId="28" xfId="0" applyFill="1" applyBorder="1"/>
    <xf numFmtId="0" fontId="0" fillId="3" borderId="29" xfId="0" applyFill="1" applyBorder="1"/>
    <xf numFmtId="0" fontId="0" fillId="3" borderId="1" xfId="0" applyFill="1" applyBorder="1"/>
    <xf numFmtId="0" fontId="0" fillId="0" borderId="16" xfId="0" applyBorder="1"/>
    <xf numFmtId="0" fontId="0" fillId="3" borderId="10" xfId="0" applyFill="1" applyBorder="1"/>
    <xf numFmtId="164" fontId="0" fillId="0" borderId="1" xfId="0" applyNumberFormat="1" applyBorder="1"/>
    <xf numFmtId="164" fontId="0" fillId="0" borderId="8" xfId="0" applyNumberFormat="1" applyBorder="1"/>
    <xf numFmtId="164" fontId="0" fillId="0" borderId="10" xfId="0" applyNumberFormat="1" applyBorder="1"/>
    <xf numFmtId="164" fontId="0" fillId="0" borderId="11" xfId="0" applyNumberFormat="1" applyBorder="1"/>
    <xf numFmtId="0" fontId="0" fillId="4" borderId="18" xfId="0" applyFill="1" applyBorder="1"/>
    <xf numFmtId="0" fontId="0" fillId="4" borderId="19" xfId="0" applyFill="1" applyBorder="1"/>
    <xf numFmtId="0" fontId="0" fillId="4" borderId="20" xfId="0" applyFill="1" applyBorder="1"/>
    <xf numFmtId="2" fontId="0" fillId="4" borderId="19" xfId="0" applyNumberFormat="1" applyFill="1" applyBorder="1"/>
    <xf numFmtId="164" fontId="0" fillId="4" borderId="19" xfId="0" applyNumberFormat="1" applyFill="1" applyBorder="1"/>
    <xf numFmtId="0" fontId="5" fillId="0" borderId="24" xfId="0" applyFont="1" applyBorder="1"/>
    <xf numFmtId="0" fontId="5" fillId="0" borderId="26" xfId="0" applyFont="1" applyBorder="1"/>
    <xf numFmtId="0" fontId="5" fillId="0" borderId="8" xfId="0" applyFont="1" applyBorder="1"/>
    <xf numFmtId="0" fontId="5" fillId="0" borderId="6" xfId="0" applyFont="1" applyBorder="1"/>
    <xf numFmtId="0" fontId="5" fillId="0" borderId="11" xfId="0" applyFont="1" applyBorder="1"/>
    <xf numFmtId="0" fontId="0" fillId="6" borderId="11" xfId="0" applyFill="1" applyBorder="1"/>
    <xf numFmtId="0" fontId="0" fillId="6" borderId="25" xfId="0" applyFill="1" applyBorder="1"/>
    <xf numFmtId="0" fontId="0" fillId="6" borderId="27" xfId="0" applyFill="1" applyBorder="1"/>
    <xf numFmtId="0" fontId="5" fillId="0" borderId="29" xfId="0" applyFont="1" applyBorder="1"/>
    <xf numFmtId="0" fontId="6" fillId="9" borderId="0" xfId="0" applyFont="1" applyFill="1" applyAlignment="1">
      <alignment horizontal="center"/>
    </xf>
    <xf numFmtId="0" fontId="1" fillId="4" borderId="34" xfId="0" applyFont="1" applyFill="1" applyBorder="1"/>
    <xf numFmtId="0" fontId="0" fillId="4" borderId="35" xfId="0" applyFill="1" applyBorder="1"/>
    <xf numFmtId="0" fontId="0" fillId="4" borderId="36" xfId="0" applyFill="1" applyBorder="1" applyAlignment="1">
      <alignment wrapText="1"/>
    </xf>
    <xf numFmtId="0" fontId="3" fillId="4" borderId="0" xfId="0" applyFont="1" applyFill="1"/>
    <xf numFmtId="0" fontId="4" fillId="4" borderId="0" xfId="0" applyFont="1" applyFill="1"/>
    <xf numFmtId="164" fontId="0" fillId="0" borderId="0" xfId="0" applyNumberFormat="1"/>
    <xf numFmtId="0" fontId="0" fillId="3" borderId="32" xfId="0" applyFill="1" applyBorder="1"/>
    <xf numFmtId="0" fontId="8" fillId="0" borderId="34" xfId="0" applyFont="1" applyBorder="1" applyAlignment="1">
      <alignment horizontal="justify" vertical="top"/>
    </xf>
    <xf numFmtId="0" fontId="9" fillId="0" borderId="36" xfId="1" applyBorder="1"/>
    <xf numFmtId="0" fontId="3" fillId="5" borderId="2" xfId="0" applyFont="1" applyFill="1" applyBorder="1" applyAlignment="1">
      <alignment horizontal="center"/>
    </xf>
    <xf numFmtId="0" fontId="3" fillId="5" borderId="4" xfId="0" applyFont="1" applyFill="1" applyBorder="1" applyAlignment="1">
      <alignment horizontal="center"/>
    </xf>
    <xf numFmtId="0" fontId="4" fillId="5" borderId="15" xfId="0" applyFont="1" applyFill="1" applyBorder="1" applyAlignment="1">
      <alignment horizontal="center"/>
    </xf>
    <xf numFmtId="0" fontId="4" fillId="5" borderId="17" xfId="0" applyFont="1" applyFill="1" applyBorder="1" applyAlignment="1">
      <alignment horizontal="center"/>
    </xf>
    <xf numFmtId="0" fontId="6" fillId="9" borderId="0" xfId="0" applyFont="1" applyFill="1" applyAlignment="1">
      <alignment horizontal="center"/>
    </xf>
    <xf numFmtId="0" fontId="0" fillId="7" borderId="12" xfId="0" applyFill="1" applyBorder="1" applyAlignment="1">
      <alignment horizontal="center"/>
    </xf>
    <xf numFmtId="0" fontId="0" fillId="7" borderId="13" xfId="0" applyFill="1" applyBorder="1" applyAlignment="1">
      <alignment horizontal="center"/>
    </xf>
    <xf numFmtId="0" fontId="0" fillId="7" borderId="14" xfId="0" applyFill="1" applyBorder="1" applyAlignment="1">
      <alignment horizontal="center"/>
    </xf>
    <xf numFmtId="0" fontId="0" fillId="8" borderId="12" xfId="0" applyFill="1" applyBorder="1" applyAlignment="1">
      <alignment horizontal="center"/>
    </xf>
    <xf numFmtId="0" fontId="0" fillId="8" borderId="14" xfId="0" applyFill="1" applyBorder="1" applyAlignment="1">
      <alignment horizontal="center"/>
    </xf>
    <xf numFmtId="0" fontId="0" fillId="8" borderId="2" xfId="0" applyFill="1" applyBorder="1" applyAlignment="1">
      <alignment horizontal="center"/>
    </xf>
    <xf numFmtId="0" fontId="0" fillId="8" borderId="4" xfId="0" applyFill="1" applyBorder="1" applyAlignment="1">
      <alignment horizontal="center"/>
    </xf>
    <xf numFmtId="0" fontId="0" fillId="8" borderId="32" xfId="0" applyFill="1" applyBorder="1" applyAlignment="1">
      <alignment horizontal="center"/>
    </xf>
    <xf numFmtId="0" fontId="0" fillId="8" borderId="33"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0" fillId="7" borderId="2" xfId="0" applyFill="1" applyBorder="1" applyAlignment="1">
      <alignment horizontal="center"/>
    </xf>
    <xf numFmtId="0" fontId="0" fillId="4" borderId="37" xfId="0" applyFill="1" applyBorder="1" applyAlignment="1">
      <alignment horizontal="center"/>
    </xf>
    <xf numFmtId="0" fontId="0" fillId="4" borderId="33" xfId="0" applyFill="1" applyBorder="1" applyAlignment="1">
      <alignment horizontal="center"/>
    </xf>
    <xf numFmtId="0" fontId="1" fillId="5" borderId="12" xfId="0" applyFont="1" applyFill="1" applyBorder="1" applyAlignment="1">
      <alignment horizontal="center"/>
    </xf>
    <xf numFmtId="0" fontId="1" fillId="5" borderId="13" xfId="0" applyFont="1" applyFill="1" applyBorder="1" applyAlignment="1">
      <alignment horizontal="center"/>
    </xf>
    <xf numFmtId="0" fontId="1" fillId="5" borderId="14" xfId="0" applyFont="1" applyFill="1" applyBorder="1" applyAlignment="1">
      <alignment horizontal="center"/>
    </xf>
    <xf numFmtId="0" fontId="3" fillId="5" borderId="3" xfId="0" applyFont="1" applyFill="1" applyBorder="1" applyAlignment="1">
      <alignment horizontal="center"/>
    </xf>
    <xf numFmtId="0" fontId="4" fillId="5" borderId="16" xfId="0" applyFont="1" applyFill="1" applyBorder="1" applyAlignment="1">
      <alignment horizontal="center"/>
    </xf>
    <xf numFmtId="0" fontId="1" fillId="5" borderId="12"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14" xfId="0" applyFont="1" applyFill="1" applyBorder="1" applyAlignment="1">
      <alignment horizontal="center" vertical="center"/>
    </xf>
    <xf numFmtId="0" fontId="0" fillId="4" borderId="19" xfId="0" applyFill="1" applyBorder="1" applyAlignment="1">
      <alignment horizontal="center"/>
    </xf>
    <xf numFmtId="0" fontId="0" fillId="4" borderId="20" xfId="0" applyFill="1" applyBorder="1" applyAlignment="1">
      <alignment horizontal="center"/>
    </xf>
    <xf numFmtId="0" fontId="0" fillId="5" borderId="12"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11" borderId="12" xfId="0" applyFill="1" applyBorder="1" applyAlignment="1">
      <alignment horizontal="center"/>
    </xf>
    <xf numFmtId="0" fontId="0" fillId="11" borderId="13" xfId="0" applyFill="1" applyBorder="1" applyAlignment="1">
      <alignment horizontal="center"/>
    </xf>
    <xf numFmtId="0" fontId="0" fillId="11" borderId="14" xfId="0" applyFill="1" applyBorder="1" applyAlignment="1">
      <alignment horizontal="center"/>
    </xf>
    <xf numFmtId="0" fontId="0" fillId="3" borderId="7" xfId="0" applyFill="1" applyBorder="1" applyAlignment="1">
      <alignment horizontal="center" vertical="center"/>
    </xf>
    <xf numFmtId="0" fontId="0" fillId="10" borderId="12" xfId="0" applyFill="1" applyBorder="1" applyAlignment="1">
      <alignment horizontal="center"/>
    </xf>
    <xf numFmtId="0" fontId="0" fillId="10" borderId="13" xfId="0" applyFill="1" applyBorder="1" applyAlignment="1">
      <alignment horizontal="center"/>
    </xf>
    <xf numFmtId="0" fontId="0" fillId="10" borderId="14"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3" borderId="25" xfId="0" applyFill="1" applyBorder="1" applyAlignment="1">
      <alignment horizontal="center" vertical="center"/>
    </xf>
    <xf numFmtId="0" fontId="0" fillId="3" borderId="9" xfId="0" applyFill="1" applyBorder="1" applyAlignment="1">
      <alignment horizontal="center" vertical="center"/>
    </xf>
  </cellXfs>
  <cellStyles count="2">
    <cellStyle name="Lien hypertexte" xfId="1" builtinId="8"/>
    <cellStyle name="Normal" xfId="0" builtinId="0"/>
  </cellStyles>
  <dxfs count="6">
    <dxf>
      <fill>
        <patternFill>
          <bgColor theme="9"/>
        </patternFill>
      </fill>
    </dxf>
    <dxf>
      <fill>
        <patternFill>
          <bgColor theme="0"/>
        </patternFill>
      </fill>
    </dxf>
    <dxf>
      <fill>
        <patternFill>
          <bgColor rgb="FFFF0000"/>
        </patternFill>
      </fill>
      <border>
        <vertical/>
        <horizontal/>
      </border>
    </dxf>
    <dxf>
      <fill>
        <patternFill>
          <bgColor theme="9"/>
        </patternFill>
      </fill>
    </dxf>
    <dxf>
      <fill>
        <patternFill>
          <bgColor theme="0"/>
        </patternFill>
      </fill>
    </dxf>
    <dxf>
      <fill>
        <patternFill>
          <bgColor rgb="FFFF0000"/>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Comparaison</a:t>
            </a:r>
            <a:r>
              <a:rPr lang="en-GB" baseline="0"/>
              <a:t> de différents matériaux pour une poutre en flexion simple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2787062722192549"/>
          <c:y val="0.20490963833880438"/>
          <c:w val="0.44156012910858788"/>
          <c:h val="0.73312617257992618"/>
        </c:manualLayout>
      </c:layout>
      <c:radarChart>
        <c:radarStyle val="marker"/>
        <c:varyColors val="0"/>
        <c:ser>
          <c:idx val="0"/>
          <c:order val="0"/>
          <c:tx>
            <c:strRef>
              <c:f>'Outil de comparaison'!$C$5</c:f>
              <c:strCache>
                <c:ptCount val="1"/>
                <c:pt idx="0">
                  <c:v>IPE 140 S235</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'Données et calculs'!$G$45:$G$49</c:f>
              <c:strCache>
                <c:ptCount val="5"/>
                <c:pt idx="0">
                  <c:v>Contrainte maximale</c:v>
                </c:pt>
                <c:pt idx="1">
                  <c:v>Flèche maximale</c:v>
                </c:pt>
                <c:pt idx="2">
                  <c:v>Masse poutre</c:v>
                </c:pt>
                <c:pt idx="3">
                  <c:v>Émissions de CO2</c:v>
                </c:pt>
                <c:pt idx="4">
                  <c:v>Prix</c:v>
                </c:pt>
              </c:strCache>
            </c:strRef>
          </c:cat>
          <c:val>
            <c:numRef>
              <c:f>'Données et calculs'!$H$45:$H$49</c:f>
              <c:numCache>
                <c:formatCode>0.0</c:formatCode>
                <c:ptCount val="5"/>
                <c:pt idx="0">
                  <c:v>100</c:v>
                </c:pt>
                <c:pt idx="1">
                  <c:v>100</c:v>
                </c:pt>
                <c:pt idx="2">
                  <c:v>6.71875</c:v>
                </c:pt>
                <c:pt idx="3">
                  <c:v>47.632711621233867</c:v>
                </c:pt>
                <c:pt idx="4">
                  <c:v>62.437769664785925</c:v>
                </c:pt>
              </c:numCache>
            </c:numRef>
          </c:val>
          <c:extLst>
            <c:ext xmlns:c16="http://schemas.microsoft.com/office/drawing/2014/chart" uri="{C3380CC4-5D6E-409C-BE32-E72D297353CC}">
              <c16:uniqueId val="{00000002-157D-4666-9C0C-B13FFEE9B1E0}"/>
            </c:ext>
          </c:extLst>
        </c:ser>
        <c:ser>
          <c:idx val="1"/>
          <c:order val="1"/>
          <c:tx>
            <c:strRef>
              <c:f>'Outil de comparaison'!$D$5</c:f>
              <c:strCache>
                <c:ptCount val="1"/>
                <c:pt idx="0">
                  <c:v>C40/50 200*400 cm²</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'Données et calculs'!$G$45:$G$49</c:f>
              <c:strCache>
                <c:ptCount val="5"/>
                <c:pt idx="0">
                  <c:v>Contrainte maximale</c:v>
                </c:pt>
                <c:pt idx="1">
                  <c:v>Flèche maximale</c:v>
                </c:pt>
                <c:pt idx="2">
                  <c:v>Masse poutre</c:v>
                </c:pt>
                <c:pt idx="3">
                  <c:v>Émissions de CO2</c:v>
                </c:pt>
                <c:pt idx="4">
                  <c:v>Prix</c:v>
                </c:pt>
              </c:strCache>
            </c:strRef>
          </c:cat>
          <c:val>
            <c:numRef>
              <c:f>'Données et calculs'!$I$45:$I$49</c:f>
              <c:numCache>
                <c:formatCode>0.0</c:formatCode>
                <c:ptCount val="5"/>
                <c:pt idx="0">
                  <c:v>2.4461839530332679</c:v>
                </c:pt>
                <c:pt idx="1">
                  <c:v>5.4347826086956523</c:v>
                </c:pt>
                <c:pt idx="2">
                  <c:v>100</c:v>
                </c:pt>
                <c:pt idx="3">
                  <c:v>100</c:v>
                </c:pt>
                <c:pt idx="4">
                  <c:v>33.681823210532137</c:v>
                </c:pt>
              </c:numCache>
            </c:numRef>
          </c:val>
          <c:extLst>
            <c:ext xmlns:c16="http://schemas.microsoft.com/office/drawing/2014/chart" uri="{C3380CC4-5D6E-409C-BE32-E72D297353CC}">
              <c16:uniqueId val="{00000003-157D-4666-9C0C-B13FFEE9B1E0}"/>
            </c:ext>
          </c:extLst>
        </c:ser>
        <c:ser>
          <c:idx val="2"/>
          <c:order val="2"/>
          <c:tx>
            <c:strRef>
              <c:f>'Outil de comparaison'!$E$5</c:f>
              <c:strCache>
                <c:ptCount val="1"/>
                <c:pt idx="0">
                  <c:v>GL24h 150*300 cm²</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'Données et calculs'!$G$45:$G$49</c:f>
              <c:strCache>
                <c:ptCount val="5"/>
                <c:pt idx="0">
                  <c:v>Contrainte maximale</c:v>
                </c:pt>
                <c:pt idx="1">
                  <c:v>Flèche maximale</c:v>
                </c:pt>
                <c:pt idx="2">
                  <c:v>Masse poutre</c:v>
                </c:pt>
                <c:pt idx="3">
                  <c:v>Émissions de CO2</c:v>
                </c:pt>
                <c:pt idx="4">
                  <c:v>Prix</c:v>
                </c:pt>
              </c:strCache>
            </c:strRef>
          </c:cat>
          <c:val>
            <c:numRef>
              <c:f>'Données et calculs'!$J$45:$J$49</c:f>
              <c:numCache>
                <c:formatCode>0.0</c:formatCode>
                <c:ptCount val="5"/>
                <c:pt idx="0">
                  <c:v>3.9138943248532287</c:v>
                </c:pt>
                <c:pt idx="1">
                  <c:v>29.89130434782609</c:v>
                </c:pt>
                <c:pt idx="2">
                  <c:v>10.03125</c:v>
                </c:pt>
                <c:pt idx="3">
                  <c:v>3.8020086083213771</c:v>
                </c:pt>
                <c:pt idx="4">
                  <c:v>100</c:v>
                </c:pt>
              </c:numCache>
            </c:numRef>
          </c:val>
          <c:extLst>
            <c:ext xmlns:c16="http://schemas.microsoft.com/office/drawing/2014/chart" uri="{C3380CC4-5D6E-409C-BE32-E72D297353CC}">
              <c16:uniqueId val="{00000004-157D-4666-9C0C-B13FFEE9B1E0}"/>
            </c:ext>
          </c:extLst>
        </c:ser>
        <c:ser>
          <c:idx val="3"/>
          <c:order val="3"/>
          <c:tx>
            <c:strRef>
              <c:f>'Outil de comparaison'!$F$5</c:f>
              <c:strCache>
                <c:ptCount val="1"/>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'Données et calculs'!$G$45:$G$49</c:f>
              <c:strCache>
                <c:ptCount val="5"/>
                <c:pt idx="0">
                  <c:v>Contrainte maximale</c:v>
                </c:pt>
                <c:pt idx="1">
                  <c:v>Flèche maximale</c:v>
                </c:pt>
                <c:pt idx="2">
                  <c:v>Masse poutre</c:v>
                </c:pt>
                <c:pt idx="3">
                  <c:v>Émissions de CO2</c:v>
                </c:pt>
                <c:pt idx="4">
                  <c:v>Prix</c:v>
                </c:pt>
              </c:strCache>
            </c:strRef>
          </c:cat>
          <c:val>
            <c:numRef>
              <c:f>'Données et calculs'!$K$45:$K$49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5-157D-4666-9C0C-B13FFEE9B1E0}"/>
            </c:ext>
          </c:extLst>
        </c:ser>
        <c:ser>
          <c:idx val="4"/>
          <c:order val="4"/>
          <c:tx>
            <c:strRef>
              <c:f>'Outil de comparaison'!$G$5</c:f>
              <c:strCache>
                <c:ptCount val="1"/>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'Données et calculs'!$G$45:$G$49</c:f>
              <c:strCache>
                <c:ptCount val="5"/>
                <c:pt idx="0">
                  <c:v>Contrainte maximale</c:v>
                </c:pt>
                <c:pt idx="1">
                  <c:v>Flèche maximale</c:v>
                </c:pt>
                <c:pt idx="2">
                  <c:v>Masse poutre</c:v>
                </c:pt>
                <c:pt idx="3">
                  <c:v>Émissions de CO2</c:v>
                </c:pt>
                <c:pt idx="4">
                  <c:v>Prix</c:v>
                </c:pt>
              </c:strCache>
            </c:strRef>
          </c:cat>
          <c:val>
            <c:numRef>
              <c:f>'Données et calculs'!$L$45:$L$49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6-157D-4666-9C0C-B13FFEE9B1E0}"/>
            </c:ext>
          </c:extLst>
        </c:ser>
        <c:dLbls>
          <c:showLegendKey val="0"/>
          <c:showVal val="0"/>
          <c:showCatName val="0"/>
          <c:showSerName val="0"/>
          <c:showPercent val="0"/>
          <c:showBubbleSize val="0"/>
        </c:dLbls>
        <c:axId val="1522151663"/>
        <c:axId val="1522124783"/>
      </c:radarChart>
      <c:catAx>
        <c:axId val="15221516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1522124783"/>
        <c:crosses val="autoZero"/>
        <c:auto val="1"/>
        <c:lblAlgn val="ctr"/>
        <c:lblOffset val="100"/>
        <c:noMultiLvlLbl val="0"/>
      </c:catAx>
      <c:valAx>
        <c:axId val="15221247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1522151663"/>
        <c:crosses val="autoZero"/>
        <c:crossBetween val="between"/>
      </c:valAx>
      <c:spPr>
        <a:noFill/>
        <a:ln>
          <a:noFill/>
        </a:ln>
        <a:effectLst/>
      </c:spPr>
    </c:plotArea>
    <c:legend>
      <c:legendPos val="b"/>
      <c:layout>
        <c:manualLayout>
          <c:xMode val="edge"/>
          <c:yMode val="edge"/>
          <c:x val="0.70663748985808272"/>
          <c:y val="0.26293091394548351"/>
          <c:w val="0.28140447120068118"/>
          <c:h val="0.6232973603095253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H$29" lockText="1" noThreeD="1"/>
</file>

<file path=xl/ctrlProps/ctrlProp10.xml><?xml version="1.0" encoding="utf-8"?>
<formControlPr xmlns="http://schemas.microsoft.com/office/spreadsheetml/2009/9/main" objectType="CheckBox" fmlaLink="$H$38" lockText="1" noThreeD="1"/>
</file>

<file path=xl/ctrlProps/ctrlProp11.xml><?xml version="1.0" encoding="utf-8"?>
<formControlPr xmlns="http://schemas.microsoft.com/office/spreadsheetml/2009/9/main" objectType="CheckBox" fmlaLink="$N$29" lockText="1" noThreeD="1"/>
</file>

<file path=xl/ctrlProps/ctrlProp12.xml><?xml version="1.0" encoding="utf-8"?>
<formControlPr xmlns="http://schemas.microsoft.com/office/spreadsheetml/2009/9/main" objectType="CheckBox" fmlaLink="$N$30" lockText="1" noThreeD="1"/>
</file>

<file path=xl/ctrlProps/ctrlProp13.xml><?xml version="1.0" encoding="utf-8"?>
<formControlPr xmlns="http://schemas.microsoft.com/office/spreadsheetml/2009/9/main" objectType="CheckBox" fmlaLink="$N$31" lockText="1" noThreeD="1"/>
</file>

<file path=xl/ctrlProps/ctrlProp14.xml><?xml version="1.0" encoding="utf-8"?>
<formControlPr xmlns="http://schemas.microsoft.com/office/spreadsheetml/2009/9/main" objectType="CheckBox" checked="Checked" fmlaLink="$N$32" lockText="1" noThreeD="1"/>
</file>

<file path=xl/ctrlProps/ctrlProp15.xml><?xml version="1.0" encoding="utf-8"?>
<formControlPr xmlns="http://schemas.microsoft.com/office/spreadsheetml/2009/9/main" objectType="CheckBox" fmlaLink="$N$33" lockText="1" noThreeD="1"/>
</file>

<file path=xl/ctrlProps/ctrlProp16.xml><?xml version="1.0" encoding="utf-8"?>
<formControlPr xmlns="http://schemas.microsoft.com/office/spreadsheetml/2009/9/main" objectType="CheckBox" fmlaLink="$N$34" lockText="1" noThreeD="1"/>
</file>

<file path=xl/ctrlProps/ctrlProp17.xml><?xml version="1.0" encoding="utf-8"?>
<formControlPr xmlns="http://schemas.microsoft.com/office/spreadsheetml/2009/9/main" objectType="CheckBox" fmlaLink="$K$33" lockText="1" noThreeD="1"/>
</file>

<file path=xl/ctrlProps/ctrlProp18.xml><?xml version="1.0" encoding="utf-8"?>
<formControlPr xmlns="http://schemas.microsoft.com/office/spreadsheetml/2009/9/main" objectType="CheckBox" fmlaLink="$K$34" lockText="1" noThreeD="1"/>
</file>

<file path=xl/ctrlProps/ctrlProp19.xml><?xml version="1.0" encoding="utf-8"?>
<formControlPr xmlns="http://schemas.microsoft.com/office/spreadsheetml/2009/9/main" objectType="CheckBox" fmlaLink="$K$35" lockText="1" noThreeD="1"/>
</file>

<file path=xl/ctrlProps/ctrlProp2.xml><?xml version="1.0" encoding="utf-8"?>
<formControlPr xmlns="http://schemas.microsoft.com/office/spreadsheetml/2009/9/main" objectType="CheckBox" fmlaLink="$H$30" lockText="1" noThreeD="1"/>
</file>

<file path=xl/ctrlProps/ctrlProp20.xml><?xml version="1.0" encoding="utf-8"?>
<formControlPr xmlns="http://schemas.microsoft.com/office/spreadsheetml/2009/9/main" objectType="CheckBox" fmlaLink="$N$36" lockText="1" noThreeD="1"/>
</file>

<file path=xl/ctrlProps/ctrlProp21.xml><?xml version="1.0" encoding="utf-8"?>
<formControlPr xmlns="http://schemas.microsoft.com/office/spreadsheetml/2009/9/main" objectType="CheckBox" checked="Checked" fmlaLink="$N$37" lockText="1" noThreeD="1"/>
</file>

<file path=xl/ctrlProps/ctrlProp22.xml><?xml version="1.0" encoding="utf-8"?>
<formControlPr xmlns="http://schemas.microsoft.com/office/spreadsheetml/2009/9/main" objectType="CheckBox" fmlaLink="$N$38" lockText="1" noThreeD="1"/>
</file>

<file path=xl/ctrlProps/ctrlProp23.xml><?xml version="1.0" encoding="utf-8"?>
<formControlPr xmlns="http://schemas.microsoft.com/office/spreadsheetml/2009/9/main" objectType="CheckBox" fmlaLink="$K$29" lockText="1" noThreeD="1"/>
</file>

<file path=xl/ctrlProps/ctrlProp24.xml><?xml version="1.0" encoding="utf-8"?>
<formControlPr xmlns="http://schemas.microsoft.com/office/spreadsheetml/2009/9/main" objectType="CheckBox" fmlaLink="$K$30" lockText="1" noThreeD="1"/>
</file>

<file path=xl/ctrlProps/ctrlProp25.xml><?xml version="1.0" encoding="utf-8"?>
<formControlPr xmlns="http://schemas.microsoft.com/office/spreadsheetml/2009/9/main" objectType="CheckBox" fmlaLink="$K$31" lockText="1" noThreeD="1"/>
</file>

<file path=xl/ctrlProps/ctrlProp3.xml><?xml version="1.0" encoding="utf-8"?>
<formControlPr xmlns="http://schemas.microsoft.com/office/spreadsheetml/2009/9/main" objectType="CheckBox" fmlaLink="$H$31" lockText="1" noThreeD="1"/>
</file>

<file path=xl/ctrlProps/ctrlProp4.xml><?xml version="1.0" encoding="utf-8"?>
<formControlPr xmlns="http://schemas.microsoft.com/office/spreadsheetml/2009/9/main" objectType="CheckBox" fmlaLink="$H$32" lockText="1" noThreeD="1"/>
</file>

<file path=xl/ctrlProps/ctrlProp5.xml><?xml version="1.0" encoding="utf-8"?>
<formControlPr xmlns="http://schemas.microsoft.com/office/spreadsheetml/2009/9/main" objectType="CheckBox" fmlaLink="$H$33" lockText="1" noThreeD="1"/>
</file>

<file path=xl/ctrlProps/ctrlProp6.xml><?xml version="1.0" encoding="utf-8"?>
<formControlPr xmlns="http://schemas.microsoft.com/office/spreadsheetml/2009/9/main" objectType="CheckBox" fmlaLink="$H$34" lockText="1" noThreeD="1"/>
</file>

<file path=xl/ctrlProps/ctrlProp7.xml><?xml version="1.0" encoding="utf-8"?>
<formControlPr xmlns="http://schemas.microsoft.com/office/spreadsheetml/2009/9/main" objectType="CheckBox" checked="Checked" fmlaLink="$D$31" lockText="1" noThreeD="1"/>
</file>

<file path=xl/ctrlProps/ctrlProp8.xml><?xml version="1.0" encoding="utf-8"?>
<formControlPr xmlns="http://schemas.microsoft.com/office/spreadsheetml/2009/9/main" objectType="CheckBox" fmlaLink="$H$36" lockText="1" noThreeD="1"/>
</file>

<file path=xl/ctrlProps/ctrlProp9.xml><?xml version="1.0" encoding="utf-8"?>
<formControlPr xmlns="http://schemas.microsoft.com/office/spreadsheetml/2009/9/main" objectType="CheckBox" fmlaLink="$H$37"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371416</xdr:colOff>
      <xdr:row>14</xdr:row>
      <xdr:rowOff>154414</xdr:rowOff>
    </xdr:from>
    <xdr:to>
      <xdr:col>11</xdr:col>
      <xdr:colOff>176463</xdr:colOff>
      <xdr:row>14</xdr:row>
      <xdr:rowOff>168442</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a:off x="1590616" y="2953761"/>
          <a:ext cx="6021363" cy="14028"/>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208801</xdr:colOff>
      <xdr:row>15</xdr:row>
      <xdr:rowOff>16132</xdr:rowOff>
    </xdr:from>
    <xdr:to>
      <xdr:col>2</xdr:col>
      <xdr:colOff>549270</xdr:colOff>
      <xdr:row>16</xdr:row>
      <xdr:rowOff>125069</xdr:rowOff>
    </xdr:to>
    <xdr:sp macro="" textlink="">
      <xdr:nvSpPr>
        <xdr:cNvPr id="18" name="Isosceles Triangle 17">
          <a:extLst>
            <a:ext uri="{FF2B5EF4-FFF2-40B4-BE49-F238E27FC236}">
              <a16:creationId xmlns:a16="http://schemas.microsoft.com/office/drawing/2014/main" id="{00000000-0008-0000-0100-000012000000}"/>
            </a:ext>
          </a:extLst>
        </xdr:cNvPr>
        <xdr:cNvSpPr/>
      </xdr:nvSpPr>
      <xdr:spPr>
        <a:xfrm>
          <a:off x="2037601" y="2965072"/>
          <a:ext cx="340469" cy="291817"/>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2</xdr:col>
      <xdr:colOff>169570</xdr:colOff>
      <xdr:row>16</xdr:row>
      <xdr:rowOff>127118</xdr:rowOff>
    </xdr:from>
    <xdr:to>
      <xdr:col>2</xdr:col>
      <xdr:colOff>586765</xdr:colOff>
      <xdr:row>16</xdr:row>
      <xdr:rowOff>127118</xdr:rowOff>
    </xdr:to>
    <xdr:cxnSp macro="">
      <xdr:nvCxnSpPr>
        <xdr:cNvPr id="19" name="Straight Connector 18">
          <a:extLst>
            <a:ext uri="{FF2B5EF4-FFF2-40B4-BE49-F238E27FC236}">
              <a16:creationId xmlns:a16="http://schemas.microsoft.com/office/drawing/2014/main" id="{00000000-0008-0000-0100-000013000000}"/>
            </a:ext>
          </a:extLst>
        </xdr:cNvPr>
        <xdr:cNvCxnSpPr/>
      </xdr:nvCxnSpPr>
      <xdr:spPr>
        <a:xfrm>
          <a:off x="1998370" y="3258938"/>
          <a:ext cx="41719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153641</xdr:colOff>
      <xdr:row>16</xdr:row>
      <xdr:rowOff>127118</xdr:rowOff>
    </xdr:from>
    <xdr:to>
      <xdr:col>2</xdr:col>
      <xdr:colOff>225545</xdr:colOff>
      <xdr:row>17</xdr:row>
      <xdr:rowOff>35712</xdr:rowOff>
    </xdr:to>
    <xdr:cxnSp macro="">
      <xdr:nvCxnSpPr>
        <xdr:cNvPr id="20" name="Straight Connector 19">
          <a:extLst>
            <a:ext uri="{FF2B5EF4-FFF2-40B4-BE49-F238E27FC236}">
              <a16:creationId xmlns:a16="http://schemas.microsoft.com/office/drawing/2014/main" id="{00000000-0008-0000-0100-000014000000}"/>
            </a:ext>
          </a:extLst>
        </xdr:cNvPr>
        <xdr:cNvCxnSpPr>
          <a:cxnSpLocks/>
        </xdr:cNvCxnSpPr>
      </xdr:nvCxnSpPr>
      <xdr:spPr>
        <a:xfrm flipH="1">
          <a:off x="1982441" y="3258938"/>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214114</xdr:colOff>
      <xdr:row>16</xdr:row>
      <xdr:rowOff>127118</xdr:rowOff>
    </xdr:from>
    <xdr:to>
      <xdr:col>2</xdr:col>
      <xdr:colOff>286018</xdr:colOff>
      <xdr:row>17</xdr:row>
      <xdr:rowOff>35712</xdr:rowOff>
    </xdr:to>
    <xdr:cxnSp macro="">
      <xdr:nvCxnSpPr>
        <xdr:cNvPr id="21" name="Straight Connector 20">
          <a:extLst>
            <a:ext uri="{FF2B5EF4-FFF2-40B4-BE49-F238E27FC236}">
              <a16:creationId xmlns:a16="http://schemas.microsoft.com/office/drawing/2014/main" id="{00000000-0008-0000-0100-000015000000}"/>
            </a:ext>
          </a:extLst>
        </xdr:cNvPr>
        <xdr:cNvCxnSpPr>
          <a:cxnSpLocks/>
        </xdr:cNvCxnSpPr>
      </xdr:nvCxnSpPr>
      <xdr:spPr>
        <a:xfrm flipH="1">
          <a:off x="2042914" y="3258938"/>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270089</xdr:colOff>
      <xdr:row>16</xdr:row>
      <xdr:rowOff>127117</xdr:rowOff>
    </xdr:from>
    <xdr:to>
      <xdr:col>2</xdr:col>
      <xdr:colOff>341993</xdr:colOff>
      <xdr:row>17</xdr:row>
      <xdr:rowOff>35711</xdr:rowOff>
    </xdr:to>
    <xdr:cxnSp macro="">
      <xdr:nvCxnSpPr>
        <xdr:cNvPr id="22" name="Straight Connector 21">
          <a:extLst>
            <a:ext uri="{FF2B5EF4-FFF2-40B4-BE49-F238E27FC236}">
              <a16:creationId xmlns:a16="http://schemas.microsoft.com/office/drawing/2014/main" id="{00000000-0008-0000-0100-000016000000}"/>
            </a:ext>
          </a:extLst>
        </xdr:cNvPr>
        <xdr:cNvCxnSpPr>
          <a:cxnSpLocks/>
        </xdr:cNvCxnSpPr>
      </xdr:nvCxnSpPr>
      <xdr:spPr>
        <a:xfrm flipH="1">
          <a:off x="2098889" y="3258937"/>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330562</xdr:colOff>
      <xdr:row>16</xdr:row>
      <xdr:rowOff>127117</xdr:rowOff>
    </xdr:from>
    <xdr:to>
      <xdr:col>2</xdr:col>
      <xdr:colOff>402466</xdr:colOff>
      <xdr:row>17</xdr:row>
      <xdr:rowOff>35711</xdr:rowOff>
    </xdr:to>
    <xdr:cxnSp macro="">
      <xdr:nvCxnSpPr>
        <xdr:cNvPr id="23" name="Straight Connector 22">
          <a:extLst>
            <a:ext uri="{FF2B5EF4-FFF2-40B4-BE49-F238E27FC236}">
              <a16:creationId xmlns:a16="http://schemas.microsoft.com/office/drawing/2014/main" id="{00000000-0008-0000-0100-000017000000}"/>
            </a:ext>
          </a:extLst>
        </xdr:cNvPr>
        <xdr:cNvCxnSpPr>
          <a:cxnSpLocks/>
        </xdr:cNvCxnSpPr>
      </xdr:nvCxnSpPr>
      <xdr:spPr>
        <a:xfrm flipH="1">
          <a:off x="2159362" y="3258937"/>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386294</xdr:colOff>
      <xdr:row>16</xdr:row>
      <xdr:rowOff>127118</xdr:rowOff>
    </xdr:from>
    <xdr:to>
      <xdr:col>2</xdr:col>
      <xdr:colOff>458198</xdr:colOff>
      <xdr:row>17</xdr:row>
      <xdr:rowOff>35712</xdr:rowOff>
    </xdr:to>
    <xdr:cxnSp macro="">
      <xdr:nvCxnSpPr>
        <xdr:cNvPr id="24" name="Straight Connector 23">
          <a:extLst>
            <a:ext uri="{FF2B5EF4-FFF2-40B4-BE49-F238E27FC236}">
              <a16:creationId xmlns:a16="http://schemas.microsoft.com/office/drawing/2014/main" id="{00000000-0008-0000-0100-000018000000}"/>
            </a:ext>
          </a:extLst>
        </xdr:cNvPr>
        <xdr:cNvCxnSpPr>
          <a:cxnSpLocks/>
        </xdr:cNvCxnSpPr>
      </xdr:nvCxnSpPr>
      <xdr:spPr>
        <a:xfrm flipH="1">
          <a:off x="2215094" y="3258938"/>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446767</xdr:colOff>
      <xdr:row>16</xdr:row>
      <xdr:rowOff>127118</xdr:rowOff>
    </xdr:from>
    <xdr:to>
      <xdr:col>2</xdr:col>
      <xdr:colOff>518671</xdr:colOff>
      <xdr:row>17</xdr:row>
      <xdr:rowOff>35712</xdr:rowOff>
    </xdr:to>
    <xdr:cxnSp macro="">
      <xdr:nvCxnSpPr>
        <xdr:cNvPr id="25" name="Straight Connector 24">
          <a:extLst>
            <a:ext uri="{FF2B5EF4-FFF2-40B4-BE49-F238E27FC236}">
              <a16:creationId xmlns:a16="http://schemas.microsoft.com/office/drawing/2014/main" id="{00000000-0008-0000-0100-000019000000}"/>
            </a:ext>
          </a:extLst>
        </xdr:cNvPr>
        <xdr:cNvCxnSpPr>
          <a:cxnSpLocks/>
        </xdr:cNvCxnSpPr>
      </xdr:nvCxnSpPr>
      <xdr:spPr>
        <a:xfrm flipH="1">
          <a:off x="2275567" y="3258938"/>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500594</xdr:colOff>
      <xdr:row>16</xdr:row>
      <xdr:rowOff>127117</xdr:rowOff>
    </xdr:from>
    <xdr:to>
      <xdr:col>2</xdr:col>
      <xdr:colOff>572498</xdr:colOff>
      <xdr:row>17</xdr:row>
      <xdr:rowOff>35711</xdr:rowOff>
    </xdr:to>
    <xdr:cxnSp macro="">
      <xdr:nvCxnSpPr>
        <xdr:cNvPr id="26" name="Straight Connector 25">
          <a:extLst>
            <a:ext uri="{FF2B5EF4-FFF2-40B4-BE49-F238E27FC236}">
              <a16:creationId xmlns:a16="http://schemas.microsoft.com/office/drawing/2014/main" id="{00000000-0008-0000-0100-00001A000000}"/>
            </a:ext>
          </a:extLst>
        </xdr:cNvPr>
        <xdr:cNvCxnSpPr>
          <a:cxnSpLocks/>
        </xdr:cNvCxnSpPr>
      </xdr:nvCxnSpPr>
      <xdr:spPr>
        <a:xfrm flipH="1">
          <a:off x="2329394" y="3258937"/>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371416</xdr:colOff>
      <xdr:row>11</xdr:row>
      <xdr:rowOff>32346</xdr:rowOff>
    </xdr:from>
    <xdr:to>
      <xdr:col>11</xdr:col>
      <xdr:colOff>176463</xdr:colOff>
      <xdr:row>11</xdr:row>
      <xdr:rowOff>50937</xdr:rowOff>
    </xdr:to>
    <xdr:cxnSp macro="">
      <xdr:nvCxnSpPr>
        <xdr:cNvPr id="27" name="Straight Connector 26">
          <a:extLst>
            <a:ext uri="{FF2B5EF4-FFF2-40B4-BE49-F238E27FC236}">
              <a16:creationId xmlns:a16="http://schemas.microsoft.com/office/drawing/2014/main" id="{00000000-0008-0000-0100-00001B000000}"/>
            </a:ext>
          </a:extLst>
        </xdr:cNvPr>
        <xdr:cNvCxnSpPr/>
      </xdr:nvCxnSpPr>
      <xdr:spPr>
        <a:xfrm flipV="1">
          <a:off x="1597242" y="2260368"/>
          <a:ext cx="6464264" cy="18591"/>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241170</xdr:colOff>
      <xdr:row>11</xdr:row>
      <xdr:rowOff>42654</xdr:rowOff>
    </xdr:from>
    <xdr:to>
      <xdr:col>3</xdr:col>
      <xdr:colOff>241170</xdr:colOff>
      <xdr:row>14</xdr:row>
      <xdr:rowOff>123934</xdr:rowOff>
    </xdr:to>
    <xdr:cxnSp macro="">
      <xdr:nvCxnSpPr>
        <xdr:cNvPr id="28" name="Straight Arrow Connector 27">
          <a:extLst>
            <a:ext uri="{FF2B5EF4-FFF2-40B4-BE49-F238E27FC236}">
              <a16:creationId xmlns:a16="http://schemas.microsoft.com/office/drawing/2014/main" id="{00000000-0008-0000-0100-00001C000000}"/>
            </a:ext>
          </a:extLst>
        </xdr:cNvPr>
        <xdr:cNvCxnSpPr/>
      </xdr:nvCxnSpPr>
      <xdr:spPr>
        <a:xfrm>
          <a:off x="3000534" y="2340199"/>
          <a:ext cx="0" cy="63546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386294</xdr:colOff>
      <xdr:row>11</xdr:row>
      <xdr:rowOff>42654</xdr:rowOff>
    </xdr:from>
    <xdr:to>
      <xdr:col>2</xdr:col>
      <xdr:colOff>386294</xdr:colOff>
      <xdr:row>14</xdr:row>
      <xdr:rowOff>123934</xdr:rowOff>
    </xdr:to>
    <xdr:cxnSp macro="">
      <xdr:nvCxnSpPr>
        <xdr:cNvPr id="29" name="Straight Arrow Connector 28">
          <a:extLst>
            <a:ext uri="{FF2B5EF4-FFF2-40B4-BE49-F238E27FC236}">
              <a16:creationId xmlns:a16="http://schemas.microsoft.com/office/drawing/2014/main" id="{00000000-0008-0000-0100-00001D000000}"/>
            </a:ext>
          </a:extLst>
        </xdr:cNvPr>
        <xdr:cNvCxnSpPr/>
      </xdr:nvCxnSpPr>
      <xdr:spPr>
        <a:xfrm>
          <a:off x="2215094" y="2260074"/>
          <a:ext cx="0" cy="629920"/>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507171</xdr:colOff>
      <xdr:row>11</xdr:row>
      <xdr:rowOff>42654</xdr:rowOff>
    </xdr:from>
    <xdr:to>
      <xdr:col>5</xdr:col>
      <xdr:colOff>507171</xdr:colOff>
      <xdr:row>14</xdr:row>
      <xdr:rowOff>123934</xdr:rowOff>
    </xdr:to>
    <xdr:cxnSp macro="">
      <xdr:nvCxnSpPr>
        <xdr:cNvPr id="30" name="Straight Arrow Connector 29">
          <a:extLst>
            <a:ext uri="{FF2B5EF4-FFF2-40B4-BE49-F238E27FC236}">
              <a16:creationId xmlns:a16="http://schemas.microsoft.com/office/drawing/2014/main" id="{00000000-0008-0000-0100-00001E000000}"/>
            </a:ext>
          </a:extLst>
        </xdr:cNvPr>
        <xdr:cNvCxnSpPr/>
      </xdr:nvCxnSpPr>
      <xdr:spPr>
        <a:xfrm>
          <a:off x="4164771" y="2260074"/>
          <a:ext cx="0" cy="629920"/>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398304</xdr:colOff>
      <xdr:row>11</xdr:row>
      <xdr:rowOff>42654</xdr:rowOff>
    </xdr:from>
    <xdr:to>
      <xdr:col>4</xdr:col>
      <xdr:colOff>398304</xdr:colOff>
      <xdr:row>14</xdr:row>
      <xdr:rowOff>123934</xdr:rowOff>
    </xdr:to>
    <xdr:cxnSp macro="">
      <xdr:nvCxnSpPr>
        <xdr:cNvPr id="31" name="Straight Arrow Connector 30">
          <a:extLst>
            <a:ext uri="{FF2B5EF4-FFF2-40B4-BE49-F238E27FC236}">
              <a16:creationId xmlns:a16="http://schemas.microsoft.com/office/drawing/2014/main" id="{00000000-0008-0000-0100-00001F000000}"/>
            </a:ext>
          </a:extLst>
        </xdr:cNvPr>
        <xdr:cNvCxnSpPr/>
      </xdr:nvCxnSpPr>
      <xdr:spPr>
        <a:xfrm>
          <a:off x="3769577" y="2340199"/>
          <a:ext cx="0" cy="63546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144292</xdr:colOff>
      <xdr:row>11</xdr:row>
      <xdr:rowOff>42654</xdr:rowOff>
    </xdr:from>
    <xdr:to>
      <xdr:col>8</xdr:col>
      <xdr:colOff>144292</xdr:colOff>
      <xdr:row>14</xdr:row>
      <xdr:rowOff>123934</xdr:rowOff>
    </xdr:to>
    <xdr:cxnSp macro="">
      <xdr:nvCxnSpPr>
        <xdr:cNvPr id="32" name="Straight Arrow Connector 31">
          <a:extLst>
            <a:ext uri="{FF2B5EF4-FFF2-40B4-BE49-F238E27FC236}">
              <a16:creationId xmlns:a16="http://schemas.microsoft.com/office/drawing/2014/main" id="{00000000-0008-0000-0100-000020000000}"/>
            </a:ext>
          </a:extLst>
        </xdr:cNvPr>
        <xdr:cNvCxnSpPr/>
      </xdr:nvCxnSpPr>
      <xdr:spPr>
        <a:xfrm>
          <a:off x="5710205" y="2270676"/>
          <a:ext cx="0" cy="62793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28931</xdr:colOff>
      <xdr:row>11</xdr:row>
      <xdr:rowOff>42654</xdr:rowOff>
    </xdr:from>
    <xdr:to>
      <xdr:col>7</xdr:col>
      <xdr:colOff>28931</xdr:colOff>
      <xdr:row>14</xdr:row>
      <xdr:rowOff>123934</xdr:rowOff>
    </xdr:to>
    <xdr:cxnSp macro="">
      <xdr:nvCxnSpPr>
        <xdr:cNvPr id="33" name="Straight Arrow Connector 32">
          <a:extLst>
            <a:ext uri="{FF2B5EF4-FFF2-40B4-BE49-F238E27FC236}">
              <a16:creationId xmlns:a16="http://schemas.microsoft.com/office/drawing/2014/main" id="{00000000-0008-0000-0100-000021000000}"/>
            </a:ext>
          </a:extLst>
        </xdr:cNvPr>
        <xdr:cNvCxnSpPr/>
      </xdr:nvCxnSpPr>
      <xdr:spPr>
        <a:xfrm>
          <a:off x="4981931" y="2270676"/>
          <a:ext cx="0" cy="62793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1092415</xdr:colOff>
      <xdr:row>11</xdr:row>
      <xdr:rowOff>42654</xdr:rowOff>
    </xdr:from>
    <xdr:to>
      <xdr:col>9</xdr:col>
      <xdr:colOff>1092415</xdr:colOff>
      <xdr:row>14</xdr:row>
      <xdr:rowOff>123934</xdr:rowOff>
    </xdr:to>
    <xdr:cxnSp macro="">
      <xdr:nvCxnSpPr>
        <xdr:cNvPr id="34" name="Straight Arrow Connector 33">
          <a:extLst>
            <a:ext uri="{FF2B5EF4-FFF2-40B4-BE49-F238E27FC236}">
              <a16:creationId xmlns:a16="http://schemas.microsoft.com/office/drawing/2014/main" id="{00000000-0008-0000-0100-000022000000}"/>
            </a:ext>
          </a:extLst>
        </xdr:cNvPr>
        <xdr:cNvCxnSpPr/>
      </xdr:nvCxnSpPr>
      <xdr:spPr>
        <a:xfrm>
          <a:off x="7271241" y="2270676"/>
          <a:ext cx="0" cy="62793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290270</xdr:colOff>
      <xdr:row>11</xdr:row>
      <xdr:rowOff>42654</xdr:rowOff>
    </xdr:from>
    <xdr:to>
      <xdr:col>9</xdr:col>
      <xdr:colOff>290270</xdr:colOff>
      <xdr:row>14</xdr:row>
      <xdr:rowOff>123934</xdr:rowOff>
    </xdr:to>
    <xdr:cxnSp macro="">
      <xdr:nvCxnSpPr>
        <xdr:cNvPr id="35" name="Straight Arrow Connector 34">
          <a:extLst>
            <a:ext uri="{FF2B5EF4-FFF2-40B4-BE49-F238E27FC236}">
              <a16:creationId xmlns:a16="http://schemas.microsoft.com/office/drawing/2014/main" id="{00000000-0008-0000-0100-000023000000}"/>
            </a:ext>
          </a:extLst>
        </xdr:cNvPr>
        <xdr:cNvCxnSpPr/>
      </xdr:nvCxnSpPr>
      <xdr:spPr>
        <a:xfrm>
          <a:off x="6469096" y="2270676"/>
          <a:ext cx="0" cy="62793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156541</xdr:colOff>
      <xdr:row>11</xdr:row>
      <xdr:rowOff>42654</xdr:rowOff>
    </xdr:from>
    <xdr:to>
      <xdr:col>11</xdr:col>
      <xdr:colOff>156541</xdr:colOff>
      <xdr:row>14</xdr:row>
      <xdr:rowOff>123934</xdr:rowOff>
    </xdr:to>
    <xdr:cxnSp macro="">
      <xdr:nvCxnSpPr>
        <xdr:cNvPr id="36" name="Straight Arrow Connector 35">
          <a:extLst>
            <a:ext uri="{FF2B5EF4-FFF2-40B4-BE49-F238E27FC236}">
              <a16:creationId xmlns:a16="http://schemas.microsoft.com/office/drawing/2014/main" id="{00000000-0008-0000-0100-000024000000}"/>
            </a:ext>
          </a:extLst>
        </xdr:cNvPr>
        <xdr:cNvCxnSpPr/>
      </xdr:nvCxnSpPr>
      <xdr:spPr>
        <a:xfrm>
          <a:off x="7592057" y="2288549"/>
          <a:ext cx="0" cy="63473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359329</xdr:colOff>
      <xdr:row>7</xdr:row>
      <xdr:rowOff>178392</xdr:rowOff>
    </xdr:from>
    <xdr:to>
      <xdr:col>11</xdr:col>
      <xdr:colOff>106372</xdr:colOff>
      <xdr:row>11</xdr:row>
      <xdr:rowOff>31647</xdr:rowOff>
    </xdr:to>
    <xdr:sp macro="" textlink="">
      <xdr:nvSpPr>
        <xdr:cNvPr id="37" name="TextBox 43">
          <a:extLst>
            <a:ext uri="{FF2B5EF4-FFF2-40B4-BE49-F238E27FC236}">
              <a16:creationId xmlns:a16="http://schemas.microsoft.com/office/drawing/2014/main" id="{00000000-0008-0000-0100-000025000000}"/>
            </a:ext>
          </a:extLst>
        </xdr:cNvPr>
        <xdr:cNvSpPr txBox="1"/>
      </xdr:nvSpPr>
      <xdr:spPr>
        <a:xfrm>
          <a:off x="6455329" y="1664292"/>
          <a:ext cx="966243" cy="5847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3200">
              <a:solidFill>
                <a:srgbClr val="00B050"/>
              </a:solidFill>
            </a:rPr>
            <a:t>p</a:t>
          </a:r>
          <a:endParaRPr lang="en-GB" sz="3200">
            <a:solidFill>
              <a:srgbClr val="00B050"/>
            </a:solidFill>
          </a:endParaRPr>
        </a:p>
      </xdr:txBody>
    </xdr:sp>
    <xdr:clientData/>
  </xdr:twoCellAnchor>
  <xdr:twoCellAnchor>
    <xdr:from>
      <xdr:col>6</xdr:col>
      <xdr:colOff>452351</xdr:colOff>
      <xdr:row>6</xdr:row>
      <xdr:rowOff>53396</xdr:rowOff>
    </xdr:from>
    <xdr:to>
      <xdr:col>6</xdr:col>
      <xdr:colOff>452351</xdr:colOff>
      <xdr:row>14</xdr:row>
      <xdr:rowOff>141161</xdr:rowOff>
    </xdr:to>
    <xdr:cxnSp macro="">
      <xdr:nvCxnSpPr>
        <xdr:cNvPr id="38" name="Straight Arrow Connector 37">
          <a:extLst>
            <a:ext uri="{FF2B5EF4-FFF2-40B4-BE49-F238E27FC236}">
              <a16:creationId xmlns:a16="http://schemas.microsoft.com/office/drawing/2014/main" id="{00000000-0008-0000-0100-000026000000}"/>
            </a:ext>
          </a:extLst>
        </xdr:cNvPr>
        <xdr:cNvCxnSpPr/>
      </xdr:nvCxnSpPr>
      <xdr:spPr>
        <a:xfrm>
          <a:off x="5047442" y="1392669"/>
          <a:ext cx="0" cy="1600219"/>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124073</xdr:colOff>
      <xdr:row>5</xdr:row>
      <xdr:rowOff>0</xdr:rowOff>
    </xdr:from>
    <xdr:to>
      <xdr:col>7</xdr:col>
      <xdr:colOff>480716</xdr:colOff>
      <xdr:row>8</xdr:row>
      <xdr:rowOff>36135</xdr:rowOff>
    </xdr:to>
    <xdr:sp macro="" textlink="">
      <xdr:nvSpPr>
        <xdr:cNvPr id="39" name="TextBox 46">
          <a:extLst>
            <a:ext uri="{FF2B5EF4-FFF2-40B4-BE49-F238E27FC236}">
              <a16:creationId xmlns:a16="http://schemas.microsoft.com/office/drawing/2014/main" id="{00000000-0008-0000-0100-000027000000}"/>
            </a:ext>
          </a:extLst>
        </xdr:cNvPr>
        <xdr:cNvSpPr txBox="1"/>
      </xdr:nvSpPr>
      <xdr:spPr>
        <a:xfrm>
          <a:off x="4468610" y="1137313"/>
          <a:ext cx="970793" cy="58204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3200">
              <a:solidFill>
                <a:schemeClr val="accent1"/>
              </a:solidFill>
            </a:rPr>
            <a:t>F</a:t>
          </a:r>
          <a:endParaRPr lang="en-GB" sz="3200">
            <a:solidFill>
              <a:schemeClr val="accent1"/>
            </a:solidFill>
          </a:endParaRPr>
        </a:p>
      </xdr:txBody>
    </xdr:sp>
    <xdr:clientData/>
  </xdr:twoCellAnchor>
  <xdr:twoCellAnchor>
    <xdr:from>
      <xdr:col>2</xdr:col>
      <xdr:colOff>378166</xdr:colOff>
      <xdr:row>17</xdr:row>
      <xdr:rowOff>125770</xdr:rowOff>
    </xdr:from>
    <xdr:to>
      <xdr:col>6</xdr:col>
      <xdr:colOff>450273</xdr:colOff>
      <xdr:row>17</xdr:row>
      <xdr:rowOff>127000</xdr:rowOff>
    </xdr:to>
    <xdr:cxnSp macro="">
      <xdr:nvCxnSpPr>
        <xdr:cNvPr id="40" name="Straight Arrow Connector 39">
          <a:extLst>
            <a:ext uri="{FF2B5EF4-FFF2-40B4-BE49-F238E27FC236}">
              <a16:creationId xmlns:a16="http://schemas.microsoft.com/office/drawing/2014/main" id="{00000000-0008-0000-0100-000028000000}"/>
            </a:ext>
          </a:extLst>
        </xdr:cNvPr>
        <xdr:cNvCxnSpPr/>
      </xdr:nvCxnSpPr>
      <xdr:spPr>
        <a:xfrm>
          <a:off x="1601984" y="3531679"/>
          <a:ext cx="3443380" cy="123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286129</xdr:colOff>
      <xdr:row>14</xdr:row>
      <xdr:rowOff>175497</xdr:rowOff>
    </xdr:from>
    <xdr:to>
      <xdr:col>5</xdr:col>
      <xdr:colOff>33172</xdr:colOff>
      <xdr:row>18</xdr:row>
      <xdr:rowOff>27147</xdr:rowOff>
    </xdr:to>
    <xdr:sp macro="" textlink="">
      <xdr:nvSpPr>
        <xdr:cNvPr id="41" name="TextBox 49">
          <a:extLst>
            <a:ext uri="{FF2B5EF4-FFF2-40B4-BE49-F238E27FC236}">
              <a16:creationId xmlns:a16="http://schemas.microsoft.com/office/drawing/2014/main" id="{00000000-0008-0000-0100-000029000000}"/>
            </a:ext>
          </a:extLst>
        </xdr:cNvPr>
        <xdr:cNvSpPr txBox="1"/>
      </xdr:nvSpPr>
      <xdr:spPr>
        <a:xfrm>
          <a:off x="2787477" y="2950171"/>
          <a:ext cx="972869" cy="58880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3200">
              <a:solidFill>
                <a:schemeClr val="accent1"/>
              </a:solidFill>
            </a:rPr>
            <a:t>L/2</a:t>
          </a:r>
          <a:endParaRPr lang="en-GB" sz="3200">
            <a:solidFill>
              <a:schemeClr val="accent1"/>
            </a:solidFill>
          </a:endParaRPr>
        </a:p>
      </xdr:txBody>
    </xdr:sp>
    <xdr:clientData/>
  </xdr:twoCellAnchor>
  <xdr:twoCellAnchor>
    <xdr:from>
      <xdr:col>2</xdr:col>
      <xdr:colOff>378167</xdr:colOff>
      <xdr:row>18</xdr:row>
      <xdr:rowOff>112295</xdr:rowOff>
    </xdr:from>
    <xdr:to>
      <xdr:col>11</xdr:col>
      <xdr:colOff>160421</xdr:colOff>
      <xdr:row>18</xdr:row>
      <xdr:rowOff>119353</xdr:rowOff>
    </xdr:to>
    <xdr:cxnSp macro="">
      <xdr:nvCxnSpPr>
        <xdr:cNvPr id="42" name="Straight Arrow Connector 41">
          <a:extLst>
            <a:ext uri="{FF2B5EF4-FFF2-40B4-BE49-F238E27FC236}">
              <a16:creationId xmlns:a16="http://schemas.microsoft.com/office/drawing/2014/main" id="{00000000-0008-0000-0100-00002A000000}"/>
            </a:ext>
          </a:extLst>
        </xdr:cNvPr>
        <xdr:cNvCxnSpPr>
          <a:cxnSpLocks/>
        </xdr:cNvCxnSpPr>
      </xdr:nvCxnSpPr>
      <xdr:spPr>
        <a:xfrm flipV="1">
          <a:off x="1597367" y="3657600"/>
          <a:ext cx="5998570" cy="7058"/>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172340</xdr:colOff>
      <xdr:row>15</xdr:row>
      <xdr:rowOff>177468</xdr:rowOff>
    </xdr:from>
    <xdr:to>
      <xdr:col>9</xdr:col>
      <xdr:colOff>528983</xdr:colOff>
      <xdr:row>19</xdr:row>
      <xdr:rowOff>30723</xdr:rowOff>
    </xdr:to>
    <xdr:sp macro="" textlink="">
      <xdr:nvSpPr>
        <xdr:cNvPr id="43" name="TextBox 51">
          <a:extLst>
            <a:ext uri="{FF2B5EF4-FFF2-40B4-BE49-F238E27FC236}">
              <a16:creationId xmlns:a16="http://schemas.microsoft.com/office/drawing/2014/main" id="{00000000-0008-0000-0100-00002B000000}"/>
            </a:ext>
          </a:extLst>
        </xdr:cNvPr>
        <xdr:cNvSpPr txBox="1"/>
      </xdr:nvSpPr>
      <xdr:spPr>
        <a:xfrm>
          <a:off x="5658740" y="3126408"/>
          <a:ext cx="966243" cy="5847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3200"/>
            <a:t>L</a:t>
          </a:r>
          <a:endParaRPr lang="en-GB" sz="3200"/>
        </a:p>
      </xdr:txBody>
    </xdr:sp>
    <xdr:clientData/>
  </xdr:twoCellAnchor>
  <xdr:twoCellAnchor>
    <xdr:from>
      <xdr:col>0</xdr:col>
      <xdr:colOff>473484</xdr:colOff>
      <xdr:row>14</xdr:row>
      <xdr:rowOff>123934</xdr:rowOff>
    </xdr:from>
    <xdr:to>
      <xdr:col>1</xdr:col>
      <xdr:colOff>361724</xdr:colOff>
      <xdr:row>14</xdr:row>
      <xdr:rowOff>123934</xdr:rowOff>
    </xdr:to>
    <xdr:cxnSp macro="">
      <xdr:nvCxnSpPr>
        <xdr:cNvPr id="44" name="Straight Arrow Connector 43">
          <a:extLst>
            <a:ext uri="{FF2B5EF4-FFF2-40B4-BE49-F238E27FC236}">
              <a16:creationId xmlns:a16="http://schemas.microsoft.com/office/drawing/2014/main" id="{00000000-0008-0000-0100-00002C000000}"/>
            </a:ext>
          </a:extLst>
        </xdr:cNvPr>
        <xdr:cNvCxnSpPr>
          <a:cxnSpLocks/>
        </xdr:cNvCxnSpPr>
      </xdr:nvCxnSpPr>
      <xdr:spPr>
        <a:xfrm>
          <a:off x="473484" y="2923281"/>
          <a:ext cx="497840" cy="0"/>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473484</xdr:colOff>
      <xdr:row>12</xdr:row>
      <xdr:rowOff>22334</xdr:rowOff>
    </xdr:from>
    <xdr:to>
      <xdr:col>0</xdr:col>
      <xdr:colOff>473484</xdr:colOff>
      <xdr:row>14</xdr:row>
      <xdr:rowOff>123934</xdr:rowOff>
    </xdr:to>
    <xdr:cxnSp macro="">
      <xdr:nvCxnSpPr>
        <xdr:cNvPr id="45" name="Straight Arrow Connector 44">
          <a:extLst>
            <a:ext uri="{FF2B5EF4-FFF2-40B4-BE49-F238E27FC236}">
              <a16:creationId xmlns:a16="http://schemas.microsoft.com/office/drawing/2014/main" id="{00000000-0008-0000-0100-00002D000000}"/>
            </a:ext>
          </a:extLst>
        </xdr:cNvPr>
        <xdr:cNvCxnSpPr>
          <a:cxnSpLocks/>
        </xdr:cNvCxnSpPr>
      </xdr:nvCxnSpPr>
      <xdr:spPr>
        <a:xfrm flipV="1">
          <a:off x="473484" y="2452713"/>
          <a:ext cx="0" cy="470568"/>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328865</xdr:colOff>
      <xdr:row>9</xdr:row>
      <xdr:rowOff>162958</xdr:rowOff>
    </xdr:from>
    <xdr:to>
      <xdr:col>1</xdr:col>
      <xdr:colOff>69059</xdr:colOff>
      <xdr:row>12</xdr:row>
      <xdr:rowOff>75983</xdr:rowOff>
    </xdr:to>
    <mc:AlternateContent xmlns:mc="http://schemas.openxmlformats.org/markup-compatibility/2006" xmlns:a14="http://schemas.microsoft.com/office/drawing/2010/main">
      <mc:Choice Requires="a14">
        <xdr:sp macro="" textlink="">
          <xdr:nvSpPr>
            <xdr:cNvPr id="46" name="TextBox 58">
              <a:extLst>
                <a:ext uri="{FF2B5EF4-FFF2-40B4-BE49-F238E27FC236}">
                  <a16:creationId xmlns:a16="http://schemas.microsoft.com/office/drawing/2014/main" id="{00000000-0008-0000-0100-00002E000000}"/>
                </a:ext>
              </a:extLst>
            </xdr:cNvPr>
            <xdr:cNvSpPr txBox="1"/>
          </xdr:nvSpPr>
          <xdr:spPr>
            <a:xfrm>
              <a:off x="328865" y="2039884"/>
              <a:ext cx="349794" cy="46647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acc>
                      <m:accPr>
                        <m:chr m:val="⃗"/>
                        <m:ctrlPr>
                          <a:rPr lang="en-GB" sz="2400" i="1">
                            <a:solidFill>
                              <a:schemeClr val="bg2">
                                <a:lumMod val="50000"/>
                              </a:schemeClr>
                            </a:solidFill>
                            <a:latin typeface="Cambria Math" panose="02040503050406030204" pitchFamily="18" charset="0"/>
                          </a:rPr>
                        </m:ctrlPr>
                      </m:accPr>
                      <m:e>
                        <m:r>
                          <a:rPr lang="fr-FR" sz="2400" b="0" i="1">
                            <a:solidFill>
                              <a:schemeClr val="bg2">
                                <a:lumMod val="50000"/>
                              </a:schemeClr>
                            </a:solidFill>
                            <a:latin typeface="Cambria Math" panose="02040503050406030204" pitchFamily="18" charset="0"/>
                          </a:rPr>
                          <m:t>𝑦</m:t>
                        </m:r>
                      </m:e>
                    </m:acc>
                  </m:oMath>
                </m:oMathPara>
              </a14:m>
              <a:endParaRPr lang="en-GB" sz="3200" i="1"/>
            </a:p>
          </xdr:txBody>
        </xdr:sp>
      </mc:Choice>
      <mc:Fallback xmlns="">
        <xdr:sp macro="" textlink="">
          <xdr:nvSpPr>
            <xdr:cNvPr id="46" name="TextBox 58">
              <a:extLst>
                <a:ext uri="{FF2B5EF4-FFF2-40B4-BE49-F238E27FC236}">
                  <a16:creationId xmlns:a16="http://schemas.microsoft.com/office/drawing/2014/main" id="{3D4F4DAE-2B91-E161-EB2C-03F259715DC8}"/>
                </a:ext>
              </a:extLst>
            </xdr:cNvPr>
            <xdr:cNvSpPr txBox="1"/>
          </xdr:nvSpPr>
          <xdr:spPr>
            <a:xfrm>
              <a:off x="328865" y="2039884"/>
              <a:ext cx="349794" cy="46647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fr-FR" sz="2400" b="0" i="0">
                  <a:solidFill>
                    <a:schemeClr val="bg2">
                      <a:lumMod val="50000"/>
                    </a:schemeClr>
                  </a:solidFill>
                  <a:latin typeface="Cambria Math" panose="02040503050406030204" pitchFamily="18" charset="0"/>
                </a:rPr>
                <a:t>𝑦</a:t>
              </a:r>
              <a:r>
                <a:rPr lang="en-GB" sz="2400" b="0" i="0">
                  <a:solidFill>
                    <a:schemeClr val="bg2">
                      <a:lumMod val="50000"/>
                    </a:schemeClr>
                  </a:solidFill>
                  <a:latin typeface="Cambria Math" panose="02040503050406030204" pitchFamily="18" charset="0"/>
                </a:rPr>
                <a:t> ⃗</a:t>
              </a:r>
              <a:endParaRPr lang="en-GB" sz="3200" i="1"/>
            </a:p>
          </xdr:txBody>
        </xdr:sp>
      </mc:Fallback>
    </mc:AlternateContent>
    <xdr:clientData/>
  </xdr:twoCellAnchor>
  <xdr:twoCellAnchor>
    <xdr:from>
      <xdr:col>1</xdr:col>
      <xdr:colOff>264699</xdr:colOff>
      <xdr:row>13</xdr:row>
      <xdr:rowOff>61243</xdr:rowOff>
    </xdr:from>
    <xdr:to>
      <xdr:col>1</xdr:col>
      <xdr:colOff>584553</xdr:colOff>
      <xdr:row>15</xdr:row>
      <xdr:rowOff>157148</xdr:rowOff>
    </xdr:to>
    <mc:AlternateContent xmlns:mc="http://schemas.openxmlformats.org/markup-compatibility/2006" xmlns:a14="http://schemas.microsoft.com/office/drawing/2010/main">
      <mc:Choice Requires="a14">
        <xdr:sp macro="" textlink="">
          <xdr:nvSpPr>
            <xdr:cNvPr id="47" name="TextBox 59">
              <a:extLst>
                <a:ext uri="{FF2B5EF4-FFF2-40B4-BE49-F238E27FC236}">
                  <a16:creationId xmlns:a16="http://schemas.microsoft.com/office/drawing/2014/main" id="{00000000-0008-0000-0100-00002F000000}"/>
                </a:ext>
              </a:extLst>
            </xdr:cNvPr>
            <xdr:cNvSpPr txBox="1"/>
          </xdr:nvSpPr>
          <xdr:spPr>
            <a:xfrm>
              <a:off x="874299" y="2676106"/>
              <a:ext cx="319854" cy="46487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acc>
                      <m:accPr>
                        <m:chr m:val="⃗"/>
                        <m:ctrlPr>
                          <a:rPr lang="en-GB" sz="2400" i="1">
                            <a:solidFill>
                              <a:schemeClr val="bg2">
                                <a:lumMod val="50000"/>
                              </a:schemeClr>
                            </a:solidFill>
                            <a:latin typeface="Cambria Math" panose="02040503050406030204" pitchFamily="18" charset="0"/>
                          </a:rPr>
                        </m:ctrlPr>
                      </m:accPr>
                      <m:e>
                        <m:r>
                          <a:rPr lang="fr-FR" sz="2400" b="0" i="1">
                            <a:solidFill>
                              <a:schemeClr val="bg2">
                                <a:lumMod val="50000"/>
                              </a:schemeClr>
                            </a:solidFill>
                            <a:latin typeface="Cambria Math" panose="02040503050406030204" pitchFamily="18" charset="0"/>
                          </a:rPr>
                          <m:t>𝑥</m:t>
                        </m:r>
                      </m:e>
                    </m:acc>
                  </m:oMath>
                </m:oMathPara>
              </a14:m>
              <a:endParaRPr lang="en-GB" sz="3200" i="1"/>
            </a:p>
          </xdr:txBody>
        </xdr:sp>
      </mc:Choice>
      <mc:Fallback xmlns="">
        <xdr:sp macro="" textlink="">
          <xdr:nvSpPr>
            <xdr:cNvPr id="47" name="TextBox 59">
              <a:extLst>
                <a:ext uri="{FF2B5EF4-FFF2-40B4-BE49-F238E27FC236}">
                  <a16:creationId xmlns:a16="http://schemas.microsoft.com/office/drawing/2014/main" id="{B7A02621-B8D3-428C-A1B1-691DAC2C97C4}"/>
                </a:ext>
              </a:extLst>
            </xdr:cNvPr>
            <xdr:cNvSpPr txBox="1"/>
          </xdr:nvSpPr>
          <xdr:spPr>
            <a:xfrm>
              <a:off x="874299" y="2676106"/>
              <a:ext cx="319854" cy="46487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fr-FR" sz="2400" b="0" i="0">
                  <a:solidFill>
                    <a:schemeClr val="bg2">
                      <a:lumMod val="50000"/>
                    </a:schemeClr>
                  </a:solidFill>
                  <a:latin typeface="Cambria Math" panose="02040503050406030204" pitchFamily="18" charset="0"/>
                </a:rPr>
                <a:t>𝑥</a:t>
              </a:r>
              <a:r>
                <a:rPr lang="en-GB" sz="2400" b="0" i="0">
                  <a:solidFill>
                    <a:schemeClr val="bg2">
                      <a:lumMod val="50000"/>
                    </a:schemeClr>
                  </a:solidFill>
                  <a:latin typeface="Cambria Math" panose="02040503050406030204" pitchFamily="18" charset="0"/>
                </a:rPr>
                <a:t> ⃗</a:t>
              </a:r>
              <a:endParaRPr lang="en-GB" sz="3200" i="1"/>
            </a:p>
          </xdr:txBody>
        </xdr:sp>
      </mc:Fallback>
    </mc:AlternateContent>
    <xdr:clientData/>
  </xdr:twoCellAnchor>
  <xdr:twoCellAnchor>
    <xdr:from>
      <xdr:col>0</xdr:col>
      <xdr:colOff>88231</xdr:colOff>
      <xdr:row>13</xdr:row>
      <xdr:rowOff>143439</xdr:rowOff>
    </xdr:from>
    <xdr:to>
      <xdr:col>0</xdr:col>
      <xdr:colOff>465220</xdr:colOff>
      <xdr:row>16</xdr:row>
      <xdr:rowOff>56464</xdr:rowOff>
    </xdr:to>
    <mc:AlternateContent xmlns:mc="http://schemas.openxmlformats.org/markup-compatibility/2006" xmlns:a14="http://schemas.microsoft.com/office/drawing/2010/main">
      <mc:Choice Requires="a14">
        <xdr:sp macro="" textlink="">
          <xdr:nvSpPr>
            <xdr:cNvPr id="48" name="TextBox 60">
              <a:extLst>
                <a:ext uri="{FF2B5EF4-FFF2-40B4-BE49-F238E27FC236}">
                  <a16:creationId xmlns:a16="http://schemas.microsoft.com/office/drawing/2014/main" id="{00000000-0008-0000-0100-000030000000}"/>
                </a:ext>
              </a:extLst>
            </xdr:cNvPr>
            <xdr:cNvSpPr txBox="1"/>
          </xdr:nvSpPr>
          <xdr:spPr>
            <a:xfrm>
              <a:off x="88231" y="2758302"/>
              <a:ext cx="376989" cy="4744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acc>
                      <m:accPr>
                        <m:chr m:val="⃗"/>
                        <m:ctrlPr>
                          <a:rPr lang="en-GB" sz="2400" i="1">
                            <a:solidFill>
                              <a:schemeClr val="bg2">
                                <a:lumMod val="50000"/>
                              </a:schemeClr>
                            </a:solidFill>
                            <a:latin typeface="Cambria Math" panose="02040503050406030204" pitchFamily="18" charset="0"/>
                          </a:rPr>
                        </m:ctrlPr>
                      </m:accPr>
                      <m:e>
                        <m:r>
                          <a:rPr lang="fr-FR" sz="2400" b="0" i="1">
                            <a:solidFill>
                              <a:schemeClr val="bg2">
                                <a:lumMod val="50000"/>
                              </a:schemeClr>
                            </a:solidFill>
                            <a:latin typeface="Cambria Math" panose="02040503050406030204" pitchFamily="18" charset="0"/>
                          </a:rPr>
                          <m:t>𝑧</m:t>
                        </m:r>
                      </m:e>
                    </m:acc>
                  </m:oMath>
                </m:oMathPara>
              </a14:m>
              <a:endParaRPr lang="en-GB" sz="3200" i="1"/>
            </a:p>
          </xdr:txBody>
        </xdr:sp>
      </mc:Choice>
      <mc:Fallback xmlns="">
        <xdr:sp macro="" textlink="">
          <xdr:nvSpPr>
            <xdr:cNvPr id="48" name="TextBox 60">
              <a:extLst>
                <a:ext uri="{FF2B5EF4-FFF2-40B4-BE49-F238E27FC236}">
                  <a16:creationId xmlns:a16="http://schemas.microsoft.com/office/drawing/2014/main" id="{1C082F40-0458-C6C0-0DE7-C06F6F9130AA}"/>
                </a:ext>
              </a:extLst>
            </xdr:cNvPr>
            <xdr:cNvSpPr txBox="1"/>
          </xdr:nvSpPr>
          <xdr:spPr>
            <a:xfrm>
              <a:off x="88231" y="2758302"/>
              <a:ext cx="376989" cy="4744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fr-FR" sz="2400" b="0" i="0">
                  <a:solidFill>
                    <a:schemeClr val="bg2">
                      <a:lumMod val="50000"/>
                    </a:schemeClr>
                  </a:solidFill>
                  <a:latin typeface="Cambria Math" panose="02040503050406030204" pitchFamily="18" charset="0"/>
                </a:rPr>
                <a:t>𝑧</a:t>
              </a:r>
              <a:r>
                <a:rPr lang="en-GB" sz="2400" b="0" i="0">
                  <a:solidFill>
                    <a:schemeClr val="bg2">
                      <a:lumMod val="50000"/>
                    </a:schemeClr>
                  </a:solidFill>
                  <a:latin typeface="Cambria Math" panose="02040503050406030204" pitchFamily="18" charset="0"/>
                </a:rPr>
                <a:t> ⃗</a:t>
              </a:r>
              <a:endParaRPr lang="en-GB" sz="3200" i="1"/>
            </a:p>
          </xdr:txBody>
        </xdr:sp>
      </mc:Fallback>
    </mc:AlternateContent>
    <xdr:clientData/>
  </xdr:twoCellAnchor>
  <xdr:twoCellAnchor>
    <xdr:from>
      <xdr:col>0</xdr:col>
      <xdr:colOff>400522</xdr:colOff>
      <xdr:row>14</xdr:row>
      <xdr:rowOff>44396</xdr:rowOff>
    </xdr:from>
    <xdr:to>
      <xdr:col>0</xdr:col>
      <xdr:colOff>556435</xdr:colOff>
      <xdr:row>15</xdr:row>
      <xdr:rowOff>9202</xdr:rowOff>
    </xdr:to>
    <xdr:sp macro="" textlink="">
      <xdr:nvSpPr>
        <xdr:cNvPr id="49" name="Oval 48">
          <a:extLst>
            <a:ext uri="{FF2B5EF4-FFF2-40B4-BE49-F238E27FC236}">
              <a16:creationId xmlns:a16="http://schemas.microsoft.com/office/drawing/2014/main" id="{00000000-0008-0000-0100-000031000000}"/>
            </a:ext>
          </a:extLst>
        </xdr:cNvPr>
        <xdr:cNvSpPr/>
      </xdr:nvSpPr>
      <xdr:spPr>
        <a:xfrm>
          <a:off x="400522" y="2843743"/>
          <a:ext cx="155913" cy="149291"/>
        </a:xfrm>
        <a:prstGeom prst="ellipse">
          <a:avLst/>
        </a:prstGeom>
        <a:noFill/>
        <a:ln>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448399</xdr:colOff>
      <xdr:row>14</xdr:row>
      <xdr:rowOff>95379</xdr:rowOff>
    </xdr:from>
    <xdr:to>
      <xdr:col>0</xdr:col>
      <xdr:colOff>494118</xdr:colOff>
      <xdr:row>14</xdr:row>
      <xdr:rowOff>141098</xdr:rowOff>
    </xdr:to>
    <xdr:sp macro="" textlink="">
      <xdr:nvSpPr>
        <xdr:cNvPr id="50" name="Oval 49">
          <a:extLst>
            <a:ext uri="{FF2B5EF4-FFF2-40B4-BE49-F238E27FC236}">
              <a16:creationId xmlns:a16="http://schemas.microsoft.com/office/drawing/2014/main" id="{00000000-0008-0000-0100-000032000000}"/>
            </a:ext>
          </a:extLst>
        </xdr:cNvPr>
        <xdr:cNvSpPr/>
      </xdr:nvSpPr>
      <xdr:spPr>
        <a:xfrm>
          <a:off x="448399" y="2894726"/>
          <a:ext cx="45719" cy="45719"/>
        </a:xfrm>
        <a:prstGeom prst="ellipse">
          <a:avLst/>
        </a:prstGeom>
        <a:solidFill>
          <a:schemeClr val="bg2">
            <a:lumMod val="50000"/>
          </a:schemeClr>
        </a:solidFill>
        <a:ln>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mc:AlternateContent xmlns:mc="http://schemas.openxmlformats.org/markup-compatibility/2006">
    <mc:Choice xmlns:a14="http://schemas.microsoft.com/office/drawing/2010/main" Requires="a14">
      <xdr:twoCellAnchor editAs="oneCell">
        <xdr:from>
          <xdr:col>7</xdr:col>
          <xdr:colOff>198120</xdr:colOff>
          <xdr:row>27</xdr:row>
          <xdr:rowOff>175260</xdr:rowOff>
        </xdr:from>
        <xdr:to>
          <xdr:col>7</xdr:col>
          <xdr:colOff>419100</xdr:colOff>
          <xdr:row>28</xdr:row>
          <xdr:rowOff>175260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29</xdr:row>
          <xdr:rowOff>0</xdr:rowOff>
        </xdr:from>
        <xdr:to>
          <xdr:col>7</xdr:col>
          <xdr:colOff>419100</xdr:colOff>
          <xdr:row>30</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30</xdr:row>
          <xdr:rowOff>0</xdr:rowOff>
        </xdr:from>
        <xdr:to>
          <xdr:col>7</xdr:col>
          <xdr:colOff>419100</xdr:colOff>
          <xdr:row>31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31</xdr:row>
          <xdr:rowOff>0</xdr:rowOff>
        </xdr:from>
        <xdr:to>
          <xdr:col>7</xdr:col>
          <xdr:colOff>419100</xdr:colOff>
          <xdr:row>32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31</xdr:row>
          <xdr:rowOff>182880</xdr:rowOff>
        </xdr:from>
        <xdr:to>
          <xdr:col>7</xdr:col>
          <xdr:colOff>419100</xdr:colOff>
          <xdr:row>32</xdr:row>
          <xdr:rowOff>182880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33</xdr:row>
          <xdr:rowOff>0</xdr:rowOff>
        </xdr:from>
        <xdr:to>
          <xdr:col>7</xdr:col>
          <xdr:colOff>419100</xdr:colOff>
          <xdr:row>34</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30</xdr:row>
          <xdr:rowOff>0</xdr:rowOff>
        </xdr:from>
        <xdr:to>
          <xdr:col>3</xdr:col>
          <xdr:colOff>419100</xdr:colOff>
          <xdr:row>31</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35</xdr:row>
          <xdr:rowOff>0</xdr:rowOff>
        </xdr:from>
        <xdr:to>
          <xdr:col>7</xdr:col>
          <xdr:colOff>419100</xdr:colOff>
          <xdr:row>36</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36</xdr:row>
          <xdr:rowOff>0</xdr:rowOff>
        </xdr:from>
        <xdr:to>
          <xdr:col>7</xdr:col>
          <xdr:colOff>419100</xdr:colOff>
          <xdr:row>37</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36</xdr:row>
          <xdr:rowOff>182880</xdr:rowOff>
        </xdr:from>
        <xdr:to>
          <xdr:col>7</xdr:col>
          <xdr:colOff>419100</xdr:colOff>
          <xdr:row>37</xdr:row>
          <xdr:rowOff>182880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99060</xdr:colOff>
      <xdr:row>12</xdr:row>
      <xdr:rowOff>3810</xdr:rowOff>
    </xdr:from>
    <xdr:ext cx="405111" cy="172227"/>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100-000033000000}"/>
                </a:ext>
              </a:extLst>
            </xdr:cNvPr>
            <xdr:cNvSpPr txBox="1"/>
          </xdr:nvSpPr>
          <xdr:spPr>
            <a:xfrm>
              <a:off x="10104120" y="575310"/>
              <a:ext cx="40511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n-GB" sz="1100" i="1">
                          <a:latin typeface="Cambria Math" panose="02040503050406030204" pitchFamily="18" charset="0"/>
                        </a:rPr>
                      </m:ctrlPr>
                    </m:sSubPr>
                    <m:e>
                      <m:r>
                        <m:rPr>
                          <m:sty m:val="p"/>
                        </m:rPr>
                        <a:rPr lang="en-GB" sz="1100" i="0">
                          <a:latin typeface="Cambria Math" panose="02040503050406030204" pitchFamily="18" charset="0"/>
                          <a:ea typeface="Cambria Math" panose="02040503050406030204" pitchFamily="18" charset="0"/>
                        </a:rPr>
                        <m:t>σ</m:t>
                      </m:r>
                    </m:e>
                    <m:sub>
                      <m:r>
                        <m:rPr>
                          <m:sty m:val="p"/>
                        </m:rPr>
                        <a:rPr lang="fr-FR" sz="1100" b="0" i="0">
                          <a:latin typeface="Cambria Math" panose="02040503050406030204" pitchFamily="18" charset="0"/>
                        </a:rPr>
                        <m:t>max</m:t>
                      </m:r>
                    </m:sub>
                  </m:sSub>
                </m:oMath>
              </a14:m>
              <a:r>
                <a:rPr lang="en-GB" sz="1100" i="0"/>
                <a:t> </a:t>
              </a:r>
              <a:r>
                <a:rPr lang="en-GB" sz="1100"/>
                <a:t>=</a:t>
              </a:r>
            </a:p>
          </xdr:txBody>
        </xdr:sp>
      </mc:Choice>
      <mc:Fallback xmlns="">
        <xdr:sp macro="" textlink="">
          <xdr:nvSpPr>
            <xdr:cNvPr id="51" name="TextBox 50">
              <a:extLst>
                <a:ext uri="{FF2B5EF4-FFF2-40B4-BE49-F238E27FC236}">
                  <a16:creationId xmlns:a16="http://schemas.microsoft.com/office/drawing/2014/main" id="{EE0BB07E-55B1-3AF7-7B70-EAF7B1E75A79}"/>
                </a:ext>
              </a:extLst>
            </xdr:cNvPr>
            <xdr:cNvSpPr txBox="1"/>
          </xdr:nvSpPr>
          <xdr:spPr>
            <a:xfrm>
              <a:off x="10104120" y="575310"/>
              <a:ext cx="40511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GB" sz="1100" i="0">
                  <a:latin typeface="Cambria Math" panose="02040503050406030204" pitchFamily="18" charset="0"/>
                  <a:ea typeface="Cambria Math" panose="02040503050406030204" pitchFamily="18" charset="0"/>
                </a:rPr>
                <a:t>σ_</a:t>
              </a:r>
              <a:r>
                <a:rPr lang="fr-FR" sz="1100" b="0" i="0">
                  <a:latin typeface="Cambria Math" panose="02040503050406030204" pitchFamily="18" charset="0"/>
                </a:rPr>
                <a:t>max</a:t>
              </a:r>
              <a:r>
                <a:rPr lang="en-GB" sz="1100" i="0"/>
                <a:t> </a:t>
              </a:r>
              <a:r>
                <a:rPr lang="en-GB" sz="1100"/>
                <a:t>=</a:t>
              </a:r>
            </a:p>
          </xdr:txBody>
        </xdr:sp>
      </mc:Fallback>
    </mc:AlternateContent>
    <xdr:clientData/>
  </xdr:oneCellAnchor>
  <xdr:oneCellAnchor>
    <xdr:from>
      <xdr:col>18</xdr:col>
      <xdr:colOff>62565</xdr:colOff>
      <xdr:row>11</xdr:row>
      <xdr:rowOff>179070</xdr:rowOff>
    </xdr:from>
    <xdr:ext cx="322461" cy="184602"/>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100-000034000000}"/>
                </a:ext>
              </a:extLst>
            </xdr:cNvPr>
            <xdr:cNvSpPr txBox="1"/>
          </xdr:nvSpPr>
          <xdr:spPr>
            <a:xfrm>
              <a:off x="11508607" y="1318059"/>
              <a:ext cx="322461" cy="184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n-GB" sz="1100" i="1">
                          <a:latin typeface="Cambria Math" panose="02040503050406030204" pitchFamily="18" charset="0"/>
                        </a:rPr>
                      </m:ctrlPr>
                    </m:sSubPr>
                    <m:e>
                      <m:r>
                        <m:rPr>
                          <m:sty m:val="p"/>
                        </m:rPr>
                        <a:rPr lang="fr-FR" sz="1100" b="0" i="0">
                          <a:latin typeface="Cambria Math" panose="02040503050406030204" pitchFamily="18" charset="0"/>
                        </a:rPr>
                        <m:t>R</m:t>
                      </m:r>
                    </m:e>
                    <m:sub>
                      <m:r>
                        <m:rPr>
                          <m:sty m:val="p"/>
                        </m:rPr>
                        <a:rPr lang="fr-FR" sz="1100" b="0" i="0">
                          <a:latin typeface="Cambria Math" panose="02040503050406030204" pitchFamily="18" charset="0"/>
                        </a:rPr>
                        <m:t>pe</m:t>
                      </m:r>
                    </m:sub>
                  </m:sSub>
                </m:oMath>
              </a14:m>
              <a:r>
                <a:rPr lang="en-GB" sz="1100" i="0"/>
                <a:t> </a:t>
              </a:r>
              <a:r>
                <a:rPr lang="en-GB" sz="1100"/>
                <a:t>=</a:t>
              </a:r>
            </a:p>
          </xdr:txBody>
        </xdr:sp>
      </mc:Choice>
      <mc:Fallback xmlns="">
        <xdr:sp macro="" textlink="">
          <xdr:nvSpPr>
            <xdr:cNvPr id="52" name="TextBox 51">
              <a:extLst>
                <a:ext uri="{FF2B5EF4-FFF2-40B4-BE49-F238E27FC236}">
                  <a16:creationId xmlns:a16="http://schemas.microsoft.com/office/drawing/2014/main" id="{F815A7EB-FEA5-41F7-8B92-4D2596EA30E1}"/>
                </a:ext>
              </a:extLst>
            </xdr:cNvPr>
            <xdr:cNvSpPr txBox="1"/>
          </xdr:nvSpPr>
          <xdr:spPr>
            <a:xfrm>
              <a:off x="11508607" y="1318059"/>
              <a:ext cx="322461" cy="184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fr-FR" sz="1100" b="0" i="0">
                  <a:latin typeface="Cambria Math" panose="02040503050406030204" pitchFamily="18" charset="0"/>
                </a:rPr>
                <a:t>R</a:t>
              </a:r>
              <a:r>
                <a:rPr lang="en-GB" sz="1100" b="0" i="0">
                  <a:latin typeface="Cambria Math" panose="02040503050406030204" pitchFamily="18" charset="0"/>
                </a:rPr>
                <a:t>_</a:t>
              </a:r>
              <a:r>
                <a:rPr lang="fr-FR" sz="1100" b="0" i="0">
                  <a:latin typeface="Cambria Math" panose="02040503050406030204" pitchFamily="18" charset="0"/>
                </a:rPr>
                <a:t>pe</a:t>
              </a:r>
              <a:r>
                <a:rPr lang="en-GB" sz="1100" i="0"/>
                <a:t> </a:t>
              </a:r>
              <a:r>
                <a:rPr lang="en-GB" sz="1100"/>
                <a:t>=</a:t>
              </a:r>
            </a:p>
          </xdr:txBody>
        </xdr:sp>
      </mc:Fallback>
    </mc:AlternateContent>
    <xdr:clientData/>
  </xdr:oneCellAnchor>
  <xdr:oneCellAnchor>
    <xdr:from>
      <xdr:col>14</xdr:col>
      <xdr:colOff>99060</xdr:colOff>
      <xdr:row>14</xdr:row>
      <xdr:rowOff>3810</xdr:rowOff>
    </xdr:from>
    <xdr:ext cx="359329" cy="172227"/>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100-000035000000}"/>
                </a:ext>
              </a:extLst>
            </xdr:cNvPr>
            <xdr:cNvSpPr txBox="1"/>
          </xdr:nvSpPr>
          <xdr:spPr>
            <a:xfrm>
              <a:off x="10104120" y="1131570"/>
              <a:ext cx="3593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n-GB" sz="1100" i="1">
                          <a:latin typeface="Cambria Math" panose="02040503050406030204" pitchFamily="18" charset="0"/>
                        </a:rPr>
                      </m:ctrlPr>
                    </m:sSubPr>
                    <m:e>
                      <m:r>
                        <m:rPr>
                          <m:sty m:val="p"/>
                        </m:rPr>
                        <a:rPr lang="fr-FR" sz="1100" b="0" i="0">
                          <a:latin typeface="Cambria Math" panose="02040503050406030204" pitchFamily="18" charset="0"/>
                        </a:rPr>
                        <m:t>f</m:t>
                      </m:r>
                    </m:e>
                    <m:sub>
                      <m:r>
                        <m:rPr>
                          <m:sty m:val="p"/>
                        </m:rPr>
                        <a:rPr lang="fr-FR" sz="1100" b="0" i="0">
                          <a:latin typeface="Cambria Math" panose="02040503050406030204" pitchFamily="18" charset="0"/>
                        </a:rPr>
                        <m:t>max</m:t>
                      </m:r>
                    </m:sub>
                  </m:sSub>
                </m:oMath>
              </a14:m>
              <a:r>
                <a:rPr lang="en-GB" sz="1100" i="0"/>
                <a:t> </a:t>
              </a:r>
              <a:r>
                <a:rPr lang="en-GB" sz="1100"/>
                <a:t>=</a:t>
              </a:r>
            </a:p>
          </xdr:txBody>
        </xdr:sp>
      </mc:Choice>
      <mc:Fallback xmlns="">
        <xdr:sp macro="" textlink="">
          <xdr:nvSpPr>
            <xdr:cNvPr id="53" name="TextBox 52">
              <a:extLst>
                <a:ext uri="{FF2B5EF4-FFF2-40B4-BE49-F238E27FC236}">
                  <a16:creationId xmlns:a16="http://schemas.microsoft.com/office/drawing/2014/main" id="{12A1E0E5-6905-4F26-8957-5BBA15BF3781}"/>
                </a:ext>
              </a:extLst>
            </xdr:cNvPr>
            <xdr:cNvSpPr txBox="1"/>
          </xdr:nvSpPr>
          <xdr:spPr>
            <a:xfrm>
              <a:off x="10104120" y="1131570"/>
              <a:ext cx="3593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fr-FR" sz="1100" b="0" i="0">
                  <a:latin typeface="Cambria Math" panose="02040503050406030204" pitchFamily="18" charset="0"/>
                </a:rPr>
                <a:t>f</a:t>
              </a:r>
              <a:r>
                <a:rPr lang="en-GB" sz="1100" b="0" i="0">
                  <a:latin typeface="Cambria Math" panose="02040503050406030204" pitchFamily="18" charset="0"/>
                </a:rPr>
                <a:t>_</a:t>
              </a:r>
              <a:r>
                <a:rPr lang="fr-FR" sz="1100" b="0" i="0">
                  <a:latin typeface="Cambria Math" panose="02040503050406030204" pitchFamily="18" charset="0"/>
                </a:rPr>
                <a:t>max</a:t>
              </a:r>
              <a:r>
                <a:rPr lang="en-GB" sz="1100" i="0"/>
                <a:t> </a:t>
              </a:r>
              <a:r>
                <a:rPr lang="en-GB" sz="1100"/>
                <a:t>=</a:t>
              </a:r>
            </a:p>
          </xdr:txBody>
        </xdr:sp>
      </mc:Fallback>
    </mc:AlternateContent>
    <xdr:clientData/>
  </xdr:oneCellAnchor>
  <xdr:oneCellAnchor>
    <xdr:from>
      <xdr:col>18</xdr:col>
      <xdr:colOff>70586</xdr:colOff>
      <xdr:row>13</xdr:row>
      <xdr:rowOff>179070</xdr:rowOff>
    </xdr:from>
    <xdr:ext cx="312137" cy="172227"/>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100-000036000000}"/>
                </a:ext>
              </a:extLst>
            </xdr:cNvPr>
            <xdr:cNvSpPr txBox="1"/>
          </xdr:nvSpPr>
          <xdr:spPr>
            <a:xfrm>
              <a:off x="11516628" y="1687028"/>
              <a:ext cx="31213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n-GB" sz="1100" i="1">
                          <a:latin typeface="Cambria Math" panose="02040503050406030204" pitchFamily="18" charset="0"/>
                        </a:rPr>
                      </m:ctrlPr>
                    </m:sSubPr>
                    <m:e>
                      <m:r>
                        <m:rPr>
                          <m:sty m:val="p"/>
                        </m:rPr>
                        <a:rPr lang="fr-FR" sz="1100" b="0" i="0">
                          <a:latin typeface="Cambria Math" panose="02040503050406030204" pitchFamily="18" charset="0"/>
                        </a:rPr>
                        <m:t>f</m:t>
                      </m:r>
                    </m:e>
                    <m:sub>
                      <m:r>
                        <m:rPr>
                          <m:sty m:val="p"/>
                        </m:rPr>
                        <a:rPr lang="fr-FR" sz="1100" b="0" i="0">
                          <a:latin typeface="Cambria Math" panose="02040503050406030204" pitchFamily="18" charset="0"/>
                        </a:rPr>
                        <m:t>lim</m:t>
                      </m:r>
                    </m:sub>
                  </m:sSub>
                </m:oMath>
              </a14:m>
              <a:r>
                <a:rPr lang="en-GB" sz="1100" i="0"/>
                <a:t> </a:t>
              </a:r>
              <a:r>
                <a:rPr lang="en-GB" sz="1100"/>
                <a:t>=</a:t>
              </a:r>
            </a:p>
          </xdr:txBody>
        </xdr:sp>
      </mc:Choice>
      <mc:Fallback xmlns="">
        <xdr:sp macro="" textlink="">
          <xdr:nvSpPr>
            <xdr:cNvPr id="54" name="TextBox 53">
              <a:extLst>
                <a:ext uri="{FF2B5EF4-FFF2-40B4-BE49-F238E27FC236}">
                  <a16:creationId xmlns:a16="http://schemas.microsoft.com/office/drawing/2014/main" id="{2EB22BAD-2FA7-4F6E-BE93-4332B6509A0C}"/>
                </a:ext>
              </a:extLst>
            </xdr:cNvPr>
            <xdr:cNvSpPr txBox="1"/>
          </xdr:nvSpPr>
          <xdr:spPr>
            <a:xfrm>
              <a:off x="11516628" y="1687028"/>
              <a:ext cx="31213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fr-FR" sz="1100" b="0" i="0">
                  <a:latin typeface="Cambria Math" panose="02040503050406030204" pitchFamily="18" charset="0"/>
                </a:rPr>
                <a:t>f</a:t>
              </a:r>
              <a:r>
                <a:rPr lang="en-GB" sz="1100" b="0" i="0">
                  <a:latin typeface="Cambria Math" panose="02040503050406030204" pitchFamily="18" charset="0"/>
                </a:rPr>
                <a:t>_</a:t>
              </a:r>
              <a:r>
                <a:rPr lang="fr-FR" sz="1100" b="0" i="0">
                  <a:latin typeface="Cambria Math" panose="02040503050406030204" pitchFamily="18" charset="0"/>
                </a:rPr>
                <a:t>lim</a:t>
              </a:r>
              <a:r>
                <a:rPr lang="en-GB" sz="1100" i="0"/>
                <a:t> </a:t>
              </a:r>
              <a:r>
                <a:rPr lang="en-GB" sz="1100"/>
                <a:t>=</a:t>
              </a:r>
            </a:p>
          </xdr:txBody>
        </xdr:sp>
      </mc:Fallback>
    </mc:AlternateContent>
    <xdr:clientData/>
  </xdr:oneCellAnchor>
  <xdr:oneCellAnchor>
    <xdr:from>
      <xdr:col>2</xdr:col>
      <xdr:colOff>45720</xdr:colOff>
      <xdr:row>33</xdr:row>
      <xdr:rowOff>0</xdr:rowOff>
    </xdr:from>
    <xdr:ext cx="241861" cy="1722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64920" y="6697980"/>
              <a:ext cx="24186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n-GB" sz="1100" i="1">
                          <a:latin typeface="Cambria Math" panose="02040503050406030204" pitchFamily="18" charset="0"/>
                        </a:rPr>
                      </m:ctrlPr>
                    </m:sSubPr>
                    <m:e>
                      <m:r>
                        <m:rPr>
                          <m:sty m:val="p"/>
                        </m:rPr>
                        <a:rPr lang="fr-FR" sz="1100" b="0" i="0">
                          <a:latin typeface="Cambria Math" panose="02040503050406030204" pitchFamily="18" charset="0"/>
                        </a:rPr>
                        <m:t>f</m:t>
                      </m:r>
                    </m:e>
                    <m:sub>
                      <m:r>
                        <m:rPr>
                          <m:sty m:val="p"/>
                        </m:rPr>
                        <a:rPr lang="fr-FR" sz="1100" b="0" i="0">
                          <a:latin typeface="Cambria Math" panose="02040503050406030204" pitchFamily="18" charset="0"/>
                        </a:rPr>
                        <m:t>lim</m:t>
                      </m:r>
                    </m:sub>
                  </m:sSub>
                </m:oMath>
              </a14:m>
              <a:r>
                <a:rPr lang="en-GB" sz="1100" i="0"/>
                <a:t> </a:t>
              </a:r>
              <a:endParaRPr lang="en-GB" sz="1100"/>
            </a:p>
          </xdr:txBody>
        </xdr:sp>
      </mc:Choice>
      <mc:Fallback xmlns="">
        <xdr:sp macro="" textlink="">
          <xdr:nvSpPr>
            <xdr:cNvPr id="2" name="TextBox 1">
              <a:extLst>
                <a:ext uri="{FF2B5EF4-FFF2-40B4-BE49-F238E27FC236}">
                  <a16:creationId xmlns:a16="http://schemas.microsoft.com/office/drawing/2014/main" id="{161BF4FC-1CCF-41E2-8793-D5F31F348870}"/>
                </a:ext>
              </a:extLst>
            </xdr:cNvPr>
            <xdr:cNvSpPr txBox="1"/>
          </xdr:nvSpPr>
          <xdr:spPr>
            <a:xfrm>
              <a:off x="1264920" y="6697980"/>
              <a:ext cx="24186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fr-FR" sz="1100" b="0" i="0">
                  <a:latin typeface="Cambria Math" panose="02040503050406030204" pitchFamily="18" charset="0"/>
                </a:rPr>
                <a:t>f</a:t>
              </a:r>
              <a:r>
                <a:rPr lang="en-GB" sz="1100" b="0" i="0">
                  <a:latin typeface="Cambria Math" panose="02040503050406030204" pitchFamily="18" charset="0"/>
                </a:rPr>
                <a:t>_</a:t>
              </a:r>
              <a:r>
                <a:rPr lang="fr-FR" sz="1100" b="0" i="0">
                  <a:latin typeface="Cambria Math" panose="02040503050406030204" pitchFamily="18" charset="0"/>
                </a:rPr>
                <a:t>lim</a:t>
              </a:r>
              <a:r>
                <a:rPr lang="en-GB" sz="1100" i="0"/>
                <a:t> </a:t>
              </a:r>
              <a:endParaRPr lang="en-GB" sz="1100"/>
            </a:p>
          </xdr:txBody>
        </xdr:sp>
      </mc:Fallback>
    </mc:AlternateContent>
    <xdr:clientData/>
  </xdr:oneCellAnchor>
  <mc:AlternateContent xmlns:mc="http://schemas.openxmlformats.org/markup-compatibility/2006">
    <mc:Choice xmlns:a14="http://schemas.microsoft.com/office/drawing/2010/main" Requires="a14">
      <xdr:twoCellAnchor editAs="oneCell">
        <xdr:from>
          <xdr:col>13</xdr:col>
          <xdr:colOff>213360</xdr:colOff>
          <xdr:row>27</xdr:row>
          <xdr:rowOff>190500</xdr:rowOff>
        </xdr:from>
        <xdr:to>
          <xdr:col>13</xdr:col>
          <xdr:colOff>419100</xdr:colOff>
          <xdr:row>28</xdr:row>
          <xdr:rowOff>175260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29</xdr:row>
          <xdr:rowOff>0</xdr:rowOff>
        </xdr:from>
        <xdr:to>
          <xdr:col>13</xdr:col>
          <xdr:colOff>419100</xdr:colOff>
          <xdr:row>29</xdr:row>
          <xdr:rowOff>175260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30</xdr:row>
          <xdr:rowOff>7620</xdr:rowOff>
        </xdr:from>
        <xdr:to>
          <xdr:col>13</xdr:col>
          <xdr:colOff>419100</xdr:colOff>
          <xdr:row>30</xdr:row>
          <xdr:rowOff>182880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31</xdr:row>
          <xdr:rowOff>7620</xdr:rowOff>
        </xdr:from>
        <xdr:to>
          <xdr:col>13</xdr:col>
          <xdr:colOff>419100</xdr:colOff>
          <xdr:row>31</xdr:row>
          <xdr:rowOff>182880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32</xdr:row>
          <xdr:rowOff>7620</xdr:rowOff>
        </xdr:from>
        <xdr:to>
          <xdr:col>13</xdr:col>
          <xdr:colOff>419100</xdr:colOff>
          <xdr:row>32</xdr:row>
          <xdr:rowOff>182880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33</xdr:row>
          <xdr:rowOff>7620</xdr:rowOff>
        </xdr:from>
        <xdr:to>
          <xdr:col>13</xdr:col>
          <xdr:colOff>419100</xdr:colOff>
          <xdr:row>33</xdr:row>
          <xdr:rowOff>182880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35</xdr:row>
          <xdr:rowOff>7620</xdr:rowOff>
        </xdr:from>
        <xdr:to>
          <xdr:col>13</xdr:col>
          <xdr:colOff>419100</xdr:colOff>
          <xdr:row>35</xdr:row>
          <xdr:rowOff>182880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36</xdr:row>
          <xdr:rowOff>7620</xdr:rowOff>
        </xdr:from>
        <xdr:to>
          <xdr:col>13</xdr:col>
          <xdr:colOff>419100</xdr:colOff>
          <xdr:row>36</xdr:row>
          <xdr:rowOff>182880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37</xdr:row>
          <xdr:rowOff>7620</xdr:rowOff>
        </xdr:from>
        <xdr:to>
          <xdr:col>13</xdr:col>
          <xdr:colOff>419100</xdr:colOff>
          <xdr:row>37</xdr:row>
          <xdr:rowOff>182880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32</xdr:row>
          <xdr:rowOff>7620</xdr:rowOff>
        </xdr:from>
        <xdr:to>
          <xdr:col>10</xdr:col>
          <xdr:colOff>419100</xdr:colOff>
          <xdr:row>32</xdr:row>
          <xdr:rowOff>182880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33</xdr:row>
          <xdr:rowOff>7620</xdr:rowOff>
        </xdr:from>
        <xdr:to>
          <xdr:col>10</xdr:col>
          <xdr:colOff>419100</xdr:colOff>
          <xdr:row>33</xdr:row>
          <xdr:rowOff>182880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34</xdr:row>
          <xdr:rowOff>7620</xdr:rowOff>
        </xdr:from>
        <xdr:to>
          <xdr:col>10</xdr:col>
          <xdr:colOff>419100</xdr:colOff>
          <xdr:row>34</xdr:row>
          <xdr:rowOff>182880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608616</xdr:colOff>
      <xdr:row>15</xdr:row>
      <xdr:rowOff>24065</xdr:rowOff>
    </xdr:from>
    <xdr:to>
      <xdr:col>11</xdr:col>
      <xdr:colOff>339485</xdr:colOff>
      <xdr:row>16</xdr:row>
      <xdr:rowOff>123377</xdr:rowOff>
    </xdr:to>
    <xdr:sp macro="" textlink="">
      <xdr:nvSpPr>
        <xdr:cNvPr id="57" name="Isosceles Triangle 56">
          <a:extLst>
            <a:ext uri="{FF2B5EF4-FFF2-40B4-BE49-F238E27FC236}">
              <a16:creationId xmlns:a16="http://schemas.microsoft.com/office/drawing/2014/main" id="{00000000-0008-0000-0100-000039000000}"/>
            </a:ext>
          </a:extLst>
        </xdr:cNvPr>
        <xdr:cNvSpPr/>
      </xdr:nvSpPr>
      <xdr:spPr>
        <a:xfrm>
          <a:off x="7434532" y="3007897"/>
          <a:ext cx="340469" cy="291817"/>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10</xdr:col>
      <xdr:colOff>589408</xdr:colOff>
      <xdr:row>16</xdr:row>
      <xdr:rowOff>131601</xdr:rowOff>
    </xdr:from>
    <xdr:to>
      <xdr:col>11</xdr:col>
      <xdr:colOff>100755</xdr:colOff>
      <xdr:row>17</xdr:row>
      <xdr:rowOff>62862</xdr:rowOff>
    </xdr:to>
    <xdr:sp macro="" textlink="">
      <xdr:nvSpPr>
        <xdr:cNvPr id="58" name="Oval 57">
          <a:extLst>
            <a:ext uri="{FF2B5EF4-FFF2-40B4-BE49-F238E27FC236}">
              <a16:creationId xmlns:a16="http://schemas.microsoft.com/office/drawing/2014/main" id="{00000000-0008-0000-0100-00003A000000}"/>
            </a:ext>
          </a:extLst>
        </xdr:cNvPr>
        <xdr:cNvSpPr/>
      </xdr:nvSpPr>
      <xdr:spPr>
        <a:xfrm>
          <a:off x="7415324" y="3307938"/>
          <a:ext cx="120947" cy="115745"/>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11</xdr:col>
      <xdr:colOff>107443</xdr:colOff>
      <xdr:row>16</xdr:row>
      <xdr:rowOff>133506</xdr:rowOff>
    </xdr:from>
    <xdr:to>
      <xdr:col>11</xdr:col>
      <xdr:colOff>228390</xdr:colOff>
      <xdr:row>17</xdr:row>
      <xdr:rowOff>64767</xdr:rowOff>
    </xdr:to>
    <xdr:sp macro="" textlink="">
      <xdr:nvSpPr>
        <xdr:cNvPr id="59" name="Oval 58">
          <a:extLst>
            <a:ext uri="{FF2B5EF4-FFF2-40B4-BE49-F238E27FC236}">
              <a16:creationId xmlns:a16="http://schemas.microsoft.com/office/drawing/2014/main" id="{00000000-0008-0000-0100-00003B000000}"/>
            </a:ext>
          </a:extLst>
        </xdr:cNvPr>
        <xdr:cNvSpPr/>
      </xdr:nvSpPr>
      <xdr:spPr>
        <a:xfrm>
          <a:off x="7542959" y="3309843"/>
          <a:ext cx="120947" cy="115745"/>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11</xdr:col>
      <xdr:colOff>235078</xdr:colOff>
      <xdr:row>16</xdr:row>
      <xdr:rowOff>133506</xdr:rowOff>
    </xdr:from>
    <xdr:to>
      <xdr:col>11</xdr:col>
      <xdr:colOff>356025</xdr:colOff>
      <xdr:row>17</xdr:row>
      <xdr:rowOff>64767</xdr:rowOff>
    </xdr:to>
    <xdr:sp macro="" textlink="">
      <xdr:nvSpPr>
        <xdr:cNvPr id="60" name="Oval 59">
          <a:extLst>
            <a:ext uri="{FF2B5EF4-FFF2-40B4-BE49-F238E27FC236}">
              <a16:creationId xmlns:a16="http://schemas.microsoft.com/office/drawing/2014/main" id="{00000000-0008-0000-0100-00003C000000}"/>
            </a:ext>
          </a:extLst>
        </xdr:cNvPr>
        <xdr:cNvSpPr/>
      </xdr:nvSpPr>
      <xdr:spPr>
        <a:xfrm>
          <a:off x="7670594" y="3309843"/>
          <a:ext cx="120947" cy="115745"/>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10</xdr:col>
      <xdr:colOff>569385</xdr:colOff>
      <xdr:row>17</xdr:row>
      <xdr:rowOff>70482</xdr:rowOff>
    </xdr:from>
    <xdr:to>
      <xdr:col>11</xdr:col>
      <xdr:colOff>376980</xdr:colOff>
      <xdr:row>17</xdr:row>
      <xdr:rowOff>70482</xdr:rowOff>
    </xdr:to>
    <xdr:cxnSp macro="">
      <xdr:nvCxnSpPr>
        <xdr:cNvPr id="61" name="Straight Connector 60">
          <a:extLst>
            <a:ext uri="{FF2B5EF4-FFF2-40B4-BE49-F238E27FC236}">
              <a16:creationId xmlns:a16="http://schemas.microsoft.com/office/drawing/2014/main" id="{00000000-0008-0000-0100-00003D000000}"/>
            </a:ext>
          </a:extLst>
        </xdr:cNvPr>
        <xdr:cNvCxnSpPr>
          <a:cxnSpLocks/>
        </xdr:cNvCxnSpPr>
      </xdr:nvCxnSpPr>
      <xdr:spPr>
        <a:xfrm>
          <a:off x="7395301" y="3431303"/>
          <a:ext cx="41719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553456</xdr:colOff>
      <xdr:row>17</xdr:row>
      <xdr:rowOff>70482</xdr:rowOff>
    </xdr:from>
    <xdr:to>
      <xdr:col>11</xdr:col>
      <xdr:colOff>15760</xdr:colOff>
      <xdr:row>17</xdr:row>
      <xdr:rowOff>161956</xdr:rowOff>
    </xdr:to>
    <xdr:cxnSp macro="">
      <xdr:nvCxnSpPr>
        <xdr:cNvPr id="62" name="Straight Connector 61">
          <a:extLst>
            <a:ext uri="{FF2B5EF4-FFF2-40B4-BE49-F238E27FC236}">
              <a16:creationId xmlns:a16="http://schemas.microsoft.com/office/drawing/2014/main" id="{00000000-0008-0000-0100-00003E000000}"/>
            </a:ext>
          </a:extLst>
        </xdr:cNvPr>
        <xdr:cNvCxnSpPr>
          <a:cxnSpLocks/>
        </xdr:cNvCxnSpPr>
      </xdr:nvCxnSpPr>
      <xdr:spPr>
        <a:xfrm flipH="1">
          <a:off x="7379372" y="3431303"/>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4329</xdr:colOff>
      <xdr:row>17</xdr:row>
      <xdr:rowOff>70482</xdr:rowOff>
    </xdr:from>
    <xdr:to>
      <xdr:col>11</xdr:col>
      <xdr:colOff>76233</xdr:colOff>
      <xdr:row>17</xdr:row>
      <xdr:rowOff>161956</xdr:rowOff>
    </xdr:to>
    <xdr:cxnSp macro="">
      <xdr:nvCxnSpPr>
        <xdr:cNvPr id="63" name="Straight Connector 62">
          <a:extLst>
            <a:ext uri="{FF2B5EF4-FFF2-40B4-BE49-F238E27FC236}">
              <a16:creationId xmlns:a16="http://schemas.microsoft.com/office/drawing/2014/main" id="{00000000-0008-0000-0100-00003F000000}"/>
            </a:ext>
          </a:extLst>
        </xdr:cNvPr>
        <xdr:cNvCxnSpPr>
          <a:cxnSpLocks/>
        </xdr:cNvCxnSpPr>
      </xdr:nvCxnSpPr>
      <xdr:spPr>
        <a:xfrm flipH="1">
          <a:off x="7439845" y="3431303"/>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60304</xdr:colOff>
      <xdr:row>17</xdr:row>
      <xdr:rowOff>70481</xdr:rowOff>
    </xdr:from>
    <xdr:to>
      <xdr:col>11</xdr:col>
      <xdr:colOff>132208</xdr:colOff>
      <xdr:row>17</xdr:row>
      <xdr:rowOff>161955</xdr:rowOff>
    </xdr:to>
    <xdr:cxnSp macro="">
      <xdr:nvCxnSpPr>
        <xdr:cNvPr id="1024" name="Straight Connector 1023">
          <a:extLst>
            <a:ext uri="{FF2B5EF4-FFF2-40B4-BE49-F238E27FC236}">
              <a16:creationId xmlns:a16="http://schemas.microsoft.com/office/drawing/2014/main" id="{00000000-0008-0000-0100-000000040000}"/>
            </a:ext>
          </a:extLst>
        </xdr:cNvPr>
        <xdr:cNvCxnSpPr>
          <a:cxnSpLocks/>
        </xdr:cNvCxnSpPr>
      </xdr:nvCxnSpPr>
      <xdr:spPr>
        <a:xfrm flipH="1">
          <a:off x="7495820" y="3431302"/>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120777</xdr:colOff>
      <xdr:row>17</xdr:row>
      <xdr:rowOff>70481</xdr:rowOff>
    </xdr:from>
    <xdr:to>
      <xdr:col>11</xdr:col>
      <xdr:colOff>192681</xdr:colOff>
      <xdr:row>17</xdr:row>
      <xdr:rowOff>161955</xdr:rowOff>
    </xdr:to>
    <xdr:cxnSp macro="">
      <xdr:nvCxnSpPr>
        <xdr:cNvPr id="1032" name="Straight Connector 1031">
          <a:extLst>
            <a:ext uri="{FF2B5EF4-FFF2-40B4-BE49-F238E27FC236}">
              <a16:creationId xmlns:a16="http://schemas.microsoft.com/office/drawing/2014/main" id="{00000000-0008-0000-0100-000008040000}"/>
            </a:ext>
          </a:extLst>
        </xdr:cNvPr>
        <xdr:cNvCxnSpPr>
          <a:cxnSpLocks/>
        </xdr:cNvCxnSpPr>
      </xdr:nvCxnSpPr>
      <xdr:spPr>
        <a:xfrm flipH="1">
          <a:off x="7556293" y="3431302"/>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176509</xdr:colOff>
      <xdr:row>17</xdr:row>
      <xdr:rowOff>70482</xdr:rowOff>
    </xdr:from>
    <xdr:to>
      <xdr:col>11</xdr:col>
      <xdr:colOff>248413</xdr:colOff>
      <xdr:row>17</xdr:row>
      <xdr:rowOff>161956</xdr:rowOff>
    </xdr:to>
    <xdr:cxnSp macro="">
      <xdr:nvCxnSpPr>
        <xdr:cNvPr id="1033" name="Straight Connector 1032">
          <a:extLst>
            <a:ext uri="{FF2B5EF4-FFF2-40B4-BE49-F238E27FC236}">
              <a16:creationId xmlns:a16="http://schemas.microsoft.com/office/drawing/2014/main" id="{00000000-0008-0000-0100-000009040000}"/>
            </a:ext>
          </a:extLst>
        </xdr:cNvPr>
        <xdr:cNvCxnSpPr>
          <a:cxnSpLocks/>
        </xdr:cNvCxnSpPr>
      </xdr:nvCxnSpPr>
      <xdr:spPr>
        <a:xfrm flipH="1">
          <a:off x="7612025" y="3431303"/>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236982</xdr:colOff>
      <xdr:row>17</xdr:row>
      <xdr:rowOff>70482</xdr:rowOff>
    </xdr:from>
    <xdr:to>
      <xdr:col>11</xdr:col>
      <xdr:colOff>308886</xdr:colOff>
      <xdr:row>17</xdr:row>
      <xdr:rowOff>161956</xdr:rowOff>
    </xdr:to>
    <xdr:cxnSp macro="">
      <xdr:nvCxnSpPr>
        <xdr:cNvPr id="1034" name="Straight Connector 1033">
          <a:extLst>
            <a:ext uri="{FF2B5EF4-FFF2-40B4-BE49-F238E27FC236}">
              <a16:creationId xmlns:a16="http://schemas.microsoft.com/office/drawing/2014/main" id="{00000000-0008-0000-0100-00000A040000}"/>
            </a:ext>
          </a:extLst>
        </xdr:cNvPr>
        <xdr:cNvCxnSpPr>
          <a:cxnSpLocks/>
        </xdr:cNvCxnSpPr>
      </xdr:nvCxnSpPr>
      <xdr:spPr>
        <a:xfrm flipH="1">
          <a:off x="7672498" y="3431303"/>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290809</xdr:colOff>
      <xdr:row>17</xdr:row>
      <xdr:rowOff>70481</xdr:rowOff>
    </xdr:from>
    <xdr:to>
      <xdr:col>11</xdr:col>
      <xdr:colOff>362713</xdr:colOff>
      <xdr:row>17</xdr:row>
      <xdr:rowOff>161955</xdr:rowOff>
    </xdr:to>
    <xdr:cxnSp macro="">
      <xdr:nvCxnSpPr>
        <xdr:cNvPr id="1035" name="Straight Connector 1034">
          <a:extLst>
            <a:ext uri="{FF2B5EF4-FFF2-40B4-BE49-F238E27FC236}">
              <a16:creationId xmlns:a16="http://schemas.microsoft.com/office/drawing/2014/main" id="{00000000-0008-0000-0100-00000B040000}"/>
            </a:ext>
          </a:extLst>
        </xdr:cNvPr>
        <xdr:cNvCxnSpPr>
          <a:cxnSpLocks/>
        </xdr:cNvCxnSpPr>
      </xdr:nvCxnSpPr>
      <xdr:spPr>
        <a:xfrm flipH="1">
          <a:off x="7726325" y="3431302"/>
          <a:ext cx="71904" cy="914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10</xdr:col>
          <xdr:colOff>213360</xdr:colOff>
          <xdr:row>28</xdr:row>
          <xdr:rowOff>7620</xdr:rowOff>
        </xdr:from>
        <xdr:to>
          <xdr:col>10</xdr:col>
          <xdr:colOff>419100</xdr:colOff>
          <xdr:row>29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29</xdr:row>
          <xdr:rowOff>7620</xdr:rowOff>
        </xdr:from>
        <xdr:to>
          <xdr:col>10</xdr:col>
          <xdr:colOff>419100</xdr:colOff>
          <xdr:row>30</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30</xdr:row>
          <xdr:rowOff>7620</xdr:rowOff>
        </xdr:from>
        <xdr:to>
          <xdr:col>10</xdr:col>
          <xdr:colOff>419100</xdr:colOff>
          <xdr:row>30</xdr:row>
          <xdr:rowOff>182880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1011432</xdr:colOff>
      <xdr:row>11</xdr:row>
      <xdr:rowOff>38242</xdr:rowOff>
    </xdr:from>
    <xdr:to>
      <xdr:col>2</xdr:col>
      <xdr:colOff>1011432</xdr:colOff>
      <xdr:row>14</xdr:row>
      <xdr:rowOff>119522</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a:xfrm>
          <a:off x="2230632" y="2284137"/>
          <a:ext cx="0" cy="634732"/>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107674</xdr:colOff>
      <xdr:row>3</xdr:row>
      <xdr:rowOff>49694</xdr:rowOff>
    </xdr:from>
    <xdr:to>
      <xdr:col>19</xdr:col>
      <xdr:colOff>389283</xdr:colOff>
      <xdr:row>8</xdr:row>
      <xdr:rowOff>174988</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9483587" y="811694"/>
          <a:ext cx="3354456" cy="1044664"/>
        </a:xfrm>
        <a:prstGeom prst="rect">
          <a:avLst/>
        </a:prstGeom>
      </xdr:spPr>
    </xdr:pic>
    <xdr:clientData/>
  </xdr:twoCellAnchor>
  <xdr:twoCellAnchor editAs="oneCell">
    <xdr:from>
      <xdr:col>21</xdr:col>
      <xdr:colOff>198782</xdr:colOff>
      <xdr:row>4</xdr:row>
      <xdr:rowOff>118121</xdr:rowOff>
    </xdr:from>
    <xdr:to>
      <xdr:col>24</xdr:col>
      <xdr:colOff>182216</xdr:colOff>
      <xdr:row>7</xdr:row>
      <xdr:rowOff>29105</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13384695" y="1070621"/>
          <a:ext cx="1664804" cy="4576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15239</xdr:colOff>
      <xdr:row>10</xdr:row>
      <xdr:rowOff>149037</xdr:rowOff>
    </xdr:from>
    <xdr:to>
      <xdr:col>7</xdr:col>
      <xdr:colOff>197223</xdr:colOff>
      <xdr:row>33</xdr:row>
      <xdr:rowOff>137607</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42</xdr:row>
      <xdr:rowOff>0</xdr:rowOff>
    </xdr:from>
    <xdr:to>
      <xdr:col>24</xdr:col>
      <xdr:colOff>517608</xdr:colOff>
      <xdr:row>52</xdr:row>
      <xdr:rowOff>167640</xdr:rowOff>
    </xdr:to>
    <xdr:pic>
      <xdr:nvPicPr>
        <xdr:cNvPr id="2" name="Picture 1" descr="Mechanical properties of materials (GL24h, GL28h, GL32h: Glued... |  Download Scientific Diagram">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6040" y="7741920"/>
          <a:ext cx="8100060"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784087</xdr:colOff>
      <xdr:row>61</xdr:row>
      <xdr:rowOff>0</xdr:rowOff>
    </xdr:from>
    <xdr:to>
      <xdr:col>19</xdr:col>
      <xdr:colOff>243603</xdr:colOff>
      <xdr:row>95</xdr:row>
      <xdr:rowOff>150203</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999304" y="11452087"/>
          <a:ext cx="4771429" cy="6533333"/>
        </a:xfrm>
        <a:prstGeom prst="rect">
          <a:avLst/>
        </a:prstGeom>
      </xdr:spPr>
    </xdr:pic>
    <xdr:clientData/>
  </xdr:twoCellAnchor>
  <xdr:twoCellAnchor editAs="oneCell">
    <xdr:from>
      <xdr:col>20</xdr:col>
      <xdr:colOff>0</xdr:colOff>
      <xdr:row>1</xdr:row>
      <xdr:rowOff>0</xdr:rowOff>
    </xdr:from>
    <xdr:to>
      <xdr:col>34</xdr:col>
      <xdr:colOff>258427</xdr:colOff>
      <xdr:row>30</xdr:row>
      <xdr:rowOff>22232</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5814261" y="187739"/>
          <a:ext cx="8761905" cy="546666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i.eduscol.education.fr/si-ens-paris-saclay/ressources_pedagogiques/facade-vegetalisees-en-beton-impression-3d-exploitation-pedagogique"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573A-BADE-4221-8086-2556AF15CF6E}">
  <dimension ref="A1:J17"/>
  <sheetViews>
    <sheetView tabSelected="1" workbookViewId="0">
      <selection activeCell="B13" sqref="B13"/>
    </sheetView>
  </sheetViews>
  <sheetFormatPr baseColWidth="10" defaultColWidth="9.109375" defaultRowHeight="14.4" x14ac:dyDescent="0.3"/>
  <cols>
    <col min="2" max="2" width="135" customWidth="1"/>
  </cols>
  <sheetData>
    <row r="1" spans="1:10" ht="23.4" x14ac:dyDescent="0.45">
      <c r="A1" s="64" t="s">
        <v>19</v>
      </c>
      <c r="B1" s="65"/>
      <c r="C1" s="58"/>
      <c r="D1" s="58"/>
      <c r="E1" s="58"/>
      <c r="F1" s="58"/>
      <c r="G1" s="16"/>
      <c r="H1" s="16"/>
      <c r="I1" s="16"/>
      <c r="J1" s="16"/>
    </row>
    <row r="2" spans="1:10" ht="21.6" thickBot="1" x14ac:dyDescent="0.45">
      <c r="A2" s="66" t="s">
        <v>20</v>
      </c>
      <c r="B2" s="67"/>
      <c r="C2" s="59"/>
      <c r="D2" s="59"/>
      <c r="E2" s="59"/>
      <c r="F2" s="59"/>
      <c r="G2" s="16"/>
      <c r="H2" s="16"/>
      <c r="I2" s="16"/>
      <c r="J2" s="16"/>
    </row>
    <row r="3" spans="1:10" x14ac:dyDescent="0.3">
      <c r="A3" s="16"/>
      <c r="B3" s="16"/>
      <c r="C3" s="16"/>
      <c r="D3" s="16"/>
      <c r="E3" s="16"/>
      <c r="F3" s="16"/>
      <c r="G3" s="16"/>
      <c r="H3" s="16"/>
      <c r="I3" s="16"/>
      <c r="J3" s="16"/>
    </row>
    <row r="4" spans="1:10" ht="15" thickBot="1" x14ac:dyDescent="0.35">
      <c r="A4" s="16"/>
      <c r="B4" s="16"/>
      <c r="C4" s="16"/>
      <c r="D4" s="16"/>
      <c r="E4" s="16"/>
      <c r="F4" s="16"/>
      <c r="G4" s="16"/>
      <c r="H4" s="16"/>
      <c r="I4" s="16"/>
      <c r="J4" s="16"/>
    </row>
    <row r="5" spans="1:10" x14ac:dyDescent="0.3">
      <c r="A5" s="16"/>
      <c r="B5" s="55" t="s">
        <v>95</v>
      </c>
      <c r="C5" s="16"/>
      <c r="D5" s="16"/>
      <c r="E5" s="16"/>
      <c r="F5" s="16"/>
      <c r="G5" s="16"/>
      <c r="H5" s="16"/>
      <c r="I5" s="16"/>
      <c r="J5" s="16"/>
    </row>
    <row r="6" spans="1:10" x14ac:dyDescent="0.3">
      <c r="A6" s="16"/>
      <c r="B6" s="56"/>
      <c r="C6" s="16"/>
      <c r="D6" s="16"/>
      <c r="E6" s="16"/>
      <c r="F6" s="16"/>
      <c r="G6" s="16"/>
      <c r="H6" s="16"/>
      <c r="I6" s="16"/>
      <c r="J6" s="16"/>
    </row>
    <row r="7" spans="1:10" ht="202.2" thickBot="1" x14ac:dyDescent="0.35">
      <c r="A7" s="16"/>
      <c r="B7" s="57" t="s">
        <v>94</v>
      </c>
      <c r="C7" s="16"/>
      <c r="D7" s="16"/>
      <c r="E7" s="16"/>
      <c r="F7" s="16"/>
      <c r="G7" s="16"/>
      <c r="H7" s="16"/>
      <c r="I7" s="16"/>
      <c r="J7" s="16"/>
    </row>
    <row r="8" spans="1:10" x14ac:dyDescent="0.3">
      <c r="A8" s="16"/>
      <c r="B8" s="16"/>
      <c r="C8" s="16"/>
      <c r="D8" s="16"/>
      <c r="E8" s="16"/>
      <c r="F8" s="16"/>
      <c r="G8" s="16"/>
      <c r="H8" s="16"/>
      <c r="I8" s="16"/>
      <c r="J8" s="16"/>
    </row>
    <row r="9" spans="1:10" x14ac:dyDescent="0.3">
      <c r="B9" s="54" t="s">
        <v>92</v>
      </c>
      <c r="C9" s="16"/>
      <c r="D9" s="16"/>
      <c r="E9" s="16"/>
      <c r="F9" s="16"/>
      <c r="G9" s="16"/>
      <c r="H9" s="16"/>
      <c r="I9" s="16"/>
      <c r="J9" s="16"/>
    </row>
    <row r="10" spans="1:10" x14ac:dyDescent="0.3">
      <c r="A10" s="16"/>
      <c r="B10" s="16"/>
      <c r="C10" s="16"/>
      <c r="D10" s="16"/>
      <c r="E10" s="16"/>
      <c r="F10" s="16"/>
      <c r="G10" s="16"/>
      <c r="H10" s="16"/>
      <c r="I10" s="16"/>
      <c r="J10" s="16"/>
    </row>
    <row r="11" spans="1:10" x14ac:dyDescent="0.3">
      <c r="A11" s="16"/>
      <c r="B11" s="16"/>
      <c r="C11" s="16"/>
      <c r="D11" s="16"/>
      <c r="E11" s="16"/>
      <c r="F11" s="16"/>
      <c r="G11" s="16"/>
      <c r="H11" s="16"/>
      <c r="I11" s="16"/>
      <c r="J11" s="16"/>
    </row>
    <row r="12" spans="1:10" ht="15" thickBot="1" x14ac:dyDescent="0.35">
      <c r="A12" s="16"/>
      <c r="B12" s="16"/>
      <c r="C12" s="16"/>
      <c r="D12" s="16"/>
      <c r="E12" s="16"/>
      <c r="F12" s="16"/>
      <c r="G12" s="16"/>
      <c r="H12" s="16"/>
      <c r="I12" s="16"/>
      <c r="J12" s="16"/>
    </row>
    <row r="13" spans="1:10" ht="28.8" x14ac:dyDescent="0.3">
      <c r="A13" s="16"/>
      <c r="B13" s="62" t="s">
        <v>119</v>
      </c>
      <c r="C13" s="16"/>
      <c r="D13" s="16"/>
      <c r="E13" s="16"/>
      <c r="F13" s="16"/>
      <c r="G13" s="16"/>
      <c r="H13" s="16"/>
      <c r="I13" s="16"/>
      <c r="J13" s="16"/>
    </row>
    <row r="14" spans="1:10" ht="15" thickBot="1" x14ac:dyDescent="0.35">
      <c r="A14" s="16"/>
      <c r="B14" s="63" t="s">
        <v>118</v>
      </c>
      <c r="C14" s="16"/>
      <c r="D14" s="16"/>
      <c r="E14" s="16"/>
      <c r="F14" s="16"/>
      <c r="G14" s="16"/>
      <c r="H14" s="16"/>
      <c r="I14" s="16"/>
      <c r="J14" s="16"/>
    </row>
    <row r="15" spans="1:10" x14ac:dyDescent="0.3">
      <c r="A15" s="16"/>
      <c r="C15" s="16"/>
      <c r="D15" s="16"/>
      <c r="E15" s="16"/>
      <c r="F15" s="16"/>
      <c r="G15" s="16"/>
      <c r="H15" s="16"/>
      <c r="I15" s="16"/>
      <c r="J15" s="16"/>
    </row>
    <row r="16" spans="1:10" x14ac:dyDescent="0.3">
      <c r="A16" s="16"/>
      <c r="B16" s="16"/>
      <c r="C16" s="16"/>
      <c r="D16" s="16"/>
      <c r="E16" s="16"/>
      <c r="F16" s="16"/>
      <c r="G16" s="16"/>
      <c r="H16" s="16"/>
      <c r="I16" s="16"/>
      <c r="J16" s="16"/>
    </row>
    <row r="17" spans="1:10" x14ac:dyDescent="0.3">
      <c r="A17" s="16"/>
      <c r="B17" s="16"/>
      <c r="C17" s="16"/>
      <c r="D17" s="16"/>
      <c r="E17" s="16"/>
      <c r="F17" s="16"/>
      <c r="G17" s="16"/>
      <c r="H17" s="16"/>
      <c r="I17" s="16"/>
      <c r="J17" s="16"/>
    </row>
  </sheetData>
  <mergeCells count="2">
    <mergeCell ref="A1:B1"/>
    <mergeCell ref="A2:B2"/>
  </mergeCells>
  <hyperlinks>
    <hyperlink ref="B14" r:id="rId1" xr:uid="{3456CA3A-C933-4C9E-86E1-0FBBF68F5EF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C21A1-8872-40A5-9E78-CF69B5AF38C9}">
  <sheetPr codeName="Sheet2"/>
  <dimension ref="A1:Y41"/>
  <sheetViews>
    <sheetView zoomScale="63" workbookViewId="0">
      <selection activeCell="Q33" sqref="Q33"/>
    </sheetView>
  </sheetViews>
  <sheetFormatPr baseColWidth="10" defaultColWidth="9.109375" defaultRowHeight="14.4" x14ac:dyDescent="0.3"/>
  <cols>
    <col min="3" max="3" width="22.33203125" bestFit="1" customWidth="1"/>
    <col min="8" max="8" width="8.88671875" customWidth="1"/>
    <col min="10" max="10" width="16.6640625" bestFit="1" customWidth="1"/>
    <col min="13" max="13" width="14.109375" bestFit="1" customWidth="1"/>
    <col min="16" max="16" width="8.6640625" customWidth="1"/>
    <col min="17" max="17" width="8.88671875" bestFit="1" customWidth="1"/>
    <col min="18" max="18" width="2.88671875" customWidth="1"/>
    <col min="19" max="19" width="6.33203125" customWidth="1"/>
    <col min="20" max="20" width="6.109375" customWidth="1"/>
    <col min="21" max="21" width="5.33203125" customWidth="1"/>
    <col min="22" max="22" width="8" customWidth="1"/>
    <col min="23" max="23" width="7.5546875" customWidth="1"/>
  </cols>
  <sheetData>
    <row r="1" spans="1:25" ht="23.4" x14ac:dyDescent="0.45">
      <c r="A1" s="64" t="s">
        <v>19</v>
      </c>
      <c r="B1" s="86"/>
      <c r="C1" s="86"/>
      <c r="D1" s="86"/>
      <c r="E1" s="86"/>
      <c r="F1" s="65"/>
    </row>
    <row r="2" spans="1:25" ht="21.6" thickBot="1" x14ac:dyDescent="0.45">
      <c r="A2" s="66" t="s">
        <v>20</v>
      </c>
      <c r="B2" s="87"/>
      <c r="C2" s="87"/>
      <c r="D2" s="87"/>
      <c r="E2" s="87"/>
      <c r="F2" s="67"/>
    </row>
    <row r="3" spans="1:25" ht="15" thickBot="1" x14ac:dyDescent="0.35">
      <c r="N3" s="88" t="s">
        <v>109</v>
      </c>
      <c r="O3" s="89"/>
      <c r="P3" s="89"/>
      <c r="Q3" s="89"/>
      <c r="R3" s="89"/>
      <c r="S3" s="89"/>
      <c r="T3" s="89"/>
      <c r="U3" s="89"/>
      <c r="V3" s="89"/>
      <c r="W3" s="89"/>
      <c r="X3" s="89"/>
      <c r="Y3" s="90"/>
    </row>
    <row r="4" spans="1:25" ht="15" thickBot="1" x14ac:dyDescent="0.35">
      <c r="A4" s="83" t="s">
        <v>110</v>
      </c>
      <c r="B4" s="84"/>
      <c r="C4" s="84"/>
      <c r="D4" s="84"/>
      <c r="E4" s="84"/>
      <c r="F4" s="84"/>
      <c r="G4" s="84"/>
      <c r="H4" s="84"/>
      <c r="I4" s="84"/>
      <c r="J4" s="84"/>
      <c r="K4" s="84"/>
      <c r="L4" s="85"/>
      <c r="N4" s="12"/>
      <c r="O4" s="13"/>
      <c r="P4" s="13"/>
      <c r="Q4" s="13"/>
      <c r="R4" s="13"/>
      <c r="S4" s="13"/>
      <c r="T4" s="13"/>
      <c r="U4" s="13"/>
      <c r="V4" s="13"/>
      <c r="W4" s="13"/>
      <c r="X4" s="13"/>
      <c r="Y4" s="14"/>
    </row>
    <row r="5" spans="1:25" x14ac:dyDescent="0.3">
      <c r="A5" s="12"/>
      <c r="B5" s="13"/>
      <c r="C5" s="13"/>
      <c r="D5" s="13"/>
      <c r="E5" s="13"/>
      <c r="F5" s="13"/>
      <c r="G5" s="13"/>
      <c r="H5" s="13"/>
      <c r="I5" s="13"/>
      <c r="J5" s="13"/>
      <c r="K5" s="13"/>
      <c r="L5" s="14"/>
      <c r="N5" s="15"/>
      <c r="O5" s="16"/>
      <c r="P5" s="16"/>
      <c r="Q5" s="16"/>
      <c r="R5" s="16"/>
      <c r="S5" s="16"/>
      <c r="T5" s="16"/>
      <c r="U5" s="16"/>
      <c r="V5" s="16"/>
      <c r="W5" s="16"/>
      <c r="X5" s="16"/>
      <c r="Y5" s="17"/>
    </row>
    <row r="6" spans="1:25" x14ac:dyDescent="0.3">
      <c r="A6" s="15"/>
      <c r="B6" s="16"/>
      <c r="C6" s="16"/>
      <c r="D6" s="16"/>
      <c r="E6" s="16"/>
      <c r="F6" s="16"/>
      <c r="G6" s="16"/>
      <c r="H6" s="16"/>
      <c r="I6" s="16"/>
      <c r="J6" s="16"/>
      <c r="K6" s="16"/>
      <c r="L6" s="17"/>
      <c r="N6" s="15"/>
      <c r="O6" s="16"/>
      <c r="P6" s="16"/>
      <c r="Q6" s="16"/>
      <c r="R6" s="16"/>
      <c r="S6" s="16"/>
      <c r="T6" s="16"/>
      <c r="U6" s="16"/>
      <c r="V6" s="16"/>
      <c r="W6" s="16"/>
      <c r="X6" s="16"/>
      <c r="Y6" s="17"/>
    </row>
    <row r="7" spans="1:25" x14ac:dyDescent="0.3">
      <c r="A7" s="15"/>
      <c r="B7" s="16"/>
      <c r="C7" s="16"/>
      <c r="D7" s="16"/>
      <c r="E7" s="16"/>
      <c r="F7" s="16"/>
      <c r="G7" s="16"/>
      <c r="H7" s="16"/>
      <c r="I7" s="16"/>
      <c r="J7" s="16"/>
      <c r="K7" s="16"/>
      <c r="L7" s="17"/>
      <c r="N7" s="15"/>
      <c r="O7" s="16"/>
      <c r="P7" s="16"/>
      <c r="Q7" s="16"/>
      <c r="R7" s="16"/>
      <c r="S7" s="16"/>
      <c r="T7" s="16"/>
      <c r="U7" s="16"/>
      <c r="V7" s="16"/>
      <c r="W7" s="16"/>
      <c r="X7" s="16"/>
      <c r="Y7" s="17"/>
    </row>
    <row r="8" spans="1:25" x14ac:dyDescent="0.3">
      <c r="A8" s="15"/>
      <c r="B8" s="16"/>
      <c r="C8" s="16"/>
      <c r="D8" s="16"/>
      <c r="E8" s="16"/>
      <c r="F8" s="16"/>
      <c r="G8" s="16"/>
      <c r="H8" s="16"/>
      <c r="I8" s="16"/>
      <c r="J8" s="16"/>
      <c r="K8" s="16"/>
      <c r="L8" s="17"/>
      <c r="N8" s="15"/>
      <c r="O8" s="16"/>
      <c r="P8" s="16"/>
      <c r="Q8" s="16"/>
      <c r="R8" s="16"/>
      <c r="S8" s="16"/>
      <c r="T8" s="16"/>
      <c r="U8" s="16"/>
      <c r="V8" s="16"/>
      <c r="W8" s="16"/>
      <c r="X8" s="16"/>
      <c r="Y8" s="17"/>
    </row>
    <row r="9" spans="1:25" ht="15" thickBot="1" x14ac:dyDescent="0.35">
      <c r="A9" s="15"/>
      <c r="B9" s="16"/>
      <c r="C9" s="16"/>
      <c r="D9" s="16"/>
      <c r="E9" s="16"/>
      <c r="F9" s="16"/>
      <c r="G9" s="16"/>
      <c r="H9" s="16"/>
      <c r="I9" s="16"/>
      <c r="J9" s="16"/>
      <c r="K9" s="16"/>
      <c r="L9" s="17"/>
      <c r="N9" s="18"/>
      <c r="O9" s="19"/>
      <c r="P9" s="19"/>
      <c r="Q9" s="19"/>
      <c r="R9" s="19"/>
      <c r="S9" s="19"/>
      <c r="T9" s="19"/>
      <c r="U9" s="19"/>
      <c r="V9" s="19"/>
      <c r="W9" s="19"/>
      <c r="X9" s="19"/>
      <c r="Y9" s="20"/>
    </row>
    <row r="10" spans="1:25" ht="15" thickBot="1" x14ac:dyDescent="0.35">
      <c r="A10" s="15"/>
      <c r="B10" s="16"/>
      <c r="C10" s="16"/>
      <c r="D10" s="16"/>
      <c r="E10" s="16"/>
      <c r="F10" s="16"/>
      <c r="G10" s="16"/>
      <c r="H10" s="16"/>
      <c r="I10" s="16"/>
      <c r="J10" s="16"/>
      <c r="K10" s="16"/>
      <c r="L10" s="17"/>
    </row>
    <row r="11" spans="1:25" ht="15" thickBot="1" x14ac:dyDescent="0.35">
      <c r="A11" s="15"/>
      <c r="B11" s="16"/>
      <c r="C11" s="16"/>
      <c r="D11" s="16"/>
      <c r="E11" s="16"/>
      <c r="F11" s="16"/>
      <c r="G11" s="16"/>
      <c r="H11" s="16"/>
      <c r="I11" s="16"/>
      <c r="J11" s="16"/>
      <c r="K11" s="16"/>
      <c r="L11" s="17"/>
      <c r="N11" s="88" t="s">
        <v>55</v>
      </c>
      <c r="O11" s="89"/>
      <c r="P11" s="89"/>
      <c r="Q11" s="89"/>
      <c r="R11" s="89"/>
      <c r="S11" s="89"/>
      <c r="T11" s="89"/>
      <c r="U11" s="89"/>
      <c r="V11" s="89"/>
      <c r="W11" s="89"/>
      <c r="X11" s="89"/>
      <c r="Y11" s="90"/>
    </row>
    <row r="12" spans="1:25" x14ac:dyDescent="0.3">
      <c r="A12" s="15"/>
      <c r="B12" s="16"/>
      <c r="C12" s="16"/>
      <c r="D12" s="16"/>
      <c r="E12" s="16"/>
      <c r="F12" s="16"/>
      <c r="G12" s="16"/>
      <c r="H12" s="16"/>
      <c r="I12" s="16"/>
      <c r="J12" s="16"/>
      <c r="K12" s="16"/>
      <c r="L12" s="17"/>
      <c r="N12" s="12"/>
      <c r="O12" s="13"/>
      <c r="P12" s="13"/>
      <c r="Q12" s="13"/>
      <c r="R12" s="13"/>
      <c r="S12" s="13"/>
      <c r="T12" s="13"/>
      <c r="U12" s="13"/>
      <c r="V12" s="13"/>
      <c r="W12" s="13"/>
      <c r="X12" s="13"/>
      <c r="Y12" s="14"/>
    </row>
    <row r="13" spans="1:25" x14ac:dyDescent="0.3">
      <c r="A13" s="15"/>
      <c r="B13" s="16"/>
      <c r="C13" s="16"/>
      <c r="D13" s="16"/>
      <c r="E13" s="16"/>
      <c r="F13" s="16"/>
      <c r="G13" s="16"/>
      <c r="H13" s="16"/>
      <c r="I13" s="16"/>
      <c r="J13" s="16"/>
      <c r="K13" s="16"/>
      <c r="L13" s="17"/>
      <c r="N13" s="15"/>
      <c r="O13" s="40"/>
      <c r="P13" s="44">
        <f>IF(ISNUMBER('Données et calculs'!C21/10^6),'Données et calculs'!C21/10^6," ")</f>
        <v>3.5958333333333337</v>
      </c>
      <c r="Q13" s="41" t="s">
        <v>10</v>
      </c>
      <c r="R13" s="41" t="str">
        <f>IF(P13&lt;=T13, "≤", "&gt;")</f>
        <v>≤</v>
      </c>
      <c r="S13" s="41"/>
      <c r="T13" s="41">
        <f>IF(ISNUMBER('Données et calculs'!C8),'Données et calculs'!C8/D37," ")</f>
        <v>19.2</v>
      </c>
      <c r="U13" s="41" t="s">
        <v>10</v>
      </c>
      <c r="V13" s="91" t="str" cm="1">
        <f t="array" ref="V13">_xlfn.IFS(R13="&gt;","Aïe, ça ne marche pas !",AND(P13=0,T13=0)," ",R13="≤","Cool, ça fonctionne !")</f>
        <v>Cool, ça fonctionne !</v>
      </c>
      <c r="W13" s="91"/>
      <c r="X13" s="92"/>
      <c r="Y13" s="17"/>
    </row>
    <row r="14" spans="1:25" x14ac:dyDescent="0.3">
      <c r="A14" s="15"/>
      <c r="B14" s="16"/>
      <c r="C14" s="16"/>
      <c r="D14" s="16"/>
      <c r="E14" s="16"/>
      <c r="F14" s="16"/>
      <c r="G14" s="16"/>
      <c r="H14" s="16"/>
      <c r="I14" s="16"/>
      <c r="J14" s="16"/>
      <c r="K14" s="16"/>
      <c r="L14" s="17"/>
      <c r="N14" s="15"/>
      <c r="O14" s="16"/>
      <c r="P14" s="16"/>
      <c r="Q14" s="16"/>
      <c r="R14" s="16"/>
      <c r="S14" s="16"/>
      <c r="T14" s="16"/>
      <c r="U14" s="16"/>
      <c r="V14" s="16"/>
      <c r="W14" s="16"/>
      <c r="X14" s="16"/>
      <c r="Y14" s="17"/>
    </row>
    <row r="15" spans="1:25" x14ac:dyDescent="0.3">
      <c r="A15" s="15"/>
      <c r="B15" s="16"/>
      <c r="C15" s="16"/>
      <c r="D15" s="16"/>
      <c r="E15" s="16"/>
      <c r="F15" s="16"/>
      <c r="G15" s="16"/>
      <c r="H15" s="16"/>
      <c r="I15" s="16"/>
      <c r="J15" s="16"/>
      <c r="K15" s="16"/>
      <c r="L15" s="17"/>
      <c r="N15" s="15"/>
      <c r="O15" s="40"/>
      <c r="P15" s="43">
        <f>IF(ISNUMBER('Données et calculs'!C22),'Données et calculs'!C22*1000," ")</f>
        <v>5.5129384839529774</v>
      </c>
      <c r="Q15" s="41" t="s">
        <v>56</v>
      </c>
      <c r="R15" s="41" t="str">
        <f>IF(P15&lt;=T15, "≤", "&gt;")</f>
        <v>≤</v>
      </c>
      <c r="S15" s="41"/>
      <c r="T15" s="41">
        <f>IF(D34=0," ",D34)</f>
        <v>15</v>
      </c>
      <c r="U15" s="41" t="s">
        <v>56</v>
      </c>
      <c r="V15" s="91" t="str" cm="1">
        <f t="array" ref="V15">_xlfn.IFS(R15="&gt;","Aïe, ça ne marche pas !",AND(P15=0,T15=0)," ",R15="≤","Cool, ça fonctionne !")</f>
        <v>Cool, ça fonctionne !</v>
      </c>
      <c r="W15" s="91"/>
      <c r="X15" s="92"/>
      <c r="Y15" s="17"/>
    </row>
    <row r="16" spans="1:25" x14ac:dyDescent="0.3">
      <c r="A16" s="15"/>
      <c r="B16" s="16"/>
      <c r="C16" s="16"/>
      <c r="D16" s="16"/>
      <c r="E16" s="16"/>
      <c r="F16" s="16"/>
      <c r="G16" s="16"/>
      <c r="H16" s="16"/>
      <c r="I16" s="16"/>
      <c r="J16" s="16"/>
      <c r="K16" s="16"/>
      <c r="L16" s="17"/>
      <c r="N16" s="15"/>
      <c r="O16" s="16"/>
      <c r="P16" s="16"/>
      <c r="Q16" s="16"/>
      <c r="R16" s="16"/>
      <c r="S16" s="16"/>
      <c r="T16" s="16"/>
      <c r="U16" s="16"/>
      <c r="V16" s="16"/>
      <c r="W16" s="16"/>
      <c r="X16" s="16"/>
      <c r="Y16" s="17"/>
    </row>
    <row r="17" spans="1:25" x14ac:dyDescent="0.3">
      <c r="A17" s="15"/>
      <c r="B17" s="16"/>
      <c r="C17" s="16"/>
      <c r="D17" s="16"/>
      <c r="E17" s="16"/>
      <c r="F17" s="16"/>
      <c r="G17" s="16"/>
      <c r="H17" s="16"/>
      <c r="I17" s="16"/>
      <c r="J17" s="16"/>
      <c r="K17" s="16"/>
      <c r="L17" s="17"/>
      <c r="N17" s="15"/>
      <c r="O17" s="40" t="s">
        <v>57</v>
      </c>
      <c r="P17" s="44">
        <f>IF(ISNUMBER('Données et calculs'!C7*'Données et calculs'!C16),'Données et calculs'!C7*'Données et calculs'!C16," ")</f>
        <v>96.330275229357781</v>
      </c>
      <c r="Q17" s="42" t="s">
        <v>58</v>
      </c>
      <c r="R17" s="16"/>
      <c r="S17" s="16"/>
      <c r="T17" s="16"/>
      <c r="U17" s="16"/>
      <c r="V17" s="16"/>
      <c r="W17" s="16"/>
      <c r="X17" s="16"/>
      <c r="Y17" s="17"/>
    </row>
    <row r="18" spans="1:25" x14ac:dyDescent="0.3">
      <c r="A18" s="15"/>
      <c r="B18" s="16"/>
      <c r="C18" s="16"/>
      <c r="D18" s="16"/>
      <c r="E18" s="16"/>
      <c r="F18" s="16"/>
      <c r="G18" s="16"/>
      <c r="H18" s="16"/>
      <c r="I18" s="16"/>
      <c r="J18" s="16"/>
      <c r="K18" s="16"/>
      <c r="L18" s="17"/>
      <c r="N18" s="15"/>
      <c r="O18" s="16"/>
      <c r="P18" s="16"/>
      <c r="Q18" s="16"/>
      <c r="R18" s="16"/>
      <c r="S18" s="16"/>
      <c r="T18" s="16"/>
      <c r="U18" s="16"/>
      <c r="V18" s="16"/>
      <c r="W18" s="16"/>
      <c r="X18" s="16"/>
      <c r="Y18" s="17"/>
    </row>
    <row r="19" spans="1:25" x14ac:dyDescent="0.3">
      <c r="A19" s="15"/>
      <c r="B19" s="16"/>
      <c r="C19" s="16"/>
      <c r="D19" s="16"/>
      <c r="E19" s="16"/>
      <c r="F19" s="16"/>
      <c r="G19" s="16"/>
      <c r="H19" s="16"/>
      <c r="I19" s="16"/>
      <c r="J19" s="16"/>
      <c r="K19" s="16"/>
      <c r="L19" s="17"/>
      <c r="N19" s="15"/>
      <c r="O19" s="40" t="s">
        <v>59</v>
      </c>
      <c r="P19" s="44">
        <f>IF(ISNUMBER('Données et calculs'!C7*'Données et calculs'!C16*'Données et calculs'!C11),'Données et calculs'!C7*'Données et calculs'!C16*'Données et calculs'!C11," ")</f>
        <v>5.3133524999999988</v>
      </c>
      <c r="Q19" s="42" t="s">
        <v>60</v>
      </c>
      <c r="R19" s="16"/>
      <c r="S19" s="16"/>
      <c r="T19" s="16"/>
      <c r="U19" s="16"/>
      <c r="V19" s="16"/>
      <c r="W19" s="16"/>
      <c r="X19" s="16"/>
      <c r="Y19" s="17"/>
    </row>
    <row r="20" spans="1:25" x14ac:dyDescent="0.3">
      <c r="A20" s="15"/>
      <c r="B20" s="16"/>
      <c r="C20" s="16"/>
      <c r="D20" s="16"/>
      <c r="E20" s="16"/>
      <c r="F20" s="16"/>
      <c r="G20" s="16"/>
      <c r="H20" s="16"/>
      <c r="I20" s="16"/>
      <c r="J20" s="16"/>
      <c r="K20" s="16"/>
      <c r="L20" s="17"/>
      <c r="N20" s="15"/>
      <c r="O20" s="16"/>
      <c r="P20" s="16"/>
      <c r="Q20" s="16"/>
      <c r="R20" s="16"/>
      <c r="S20" s="16"/>
      <c r="T20" s="16"/>
      <c r="U20" s="16"/>
      <c r="V20" s="16"/>
      <c r="W20" s="16"/>
      <c r="X20" s="16"/>
      <c r="Y20" s="17"/>
    </row>
    <row r="21" spans="1:25" x14ac:dyDescent="0.3">
      <c r="A21" s="15"/>
      <c r="B21" s="16"/>
      <c r="C21" s="16"/>
      <c r="D21" s="16"/>
      <c r="E21" s="16"/>
      <c r="F21" s="16"/>
      <c r="G21" s="16"/>
      <c r="H21" s="16"/>
      <c r="I21" s="16"/>
      <c r="J21" s="16"/>
      <c r="K21" s="16"/>
      <c r="L21" s="17"/>
      <c r="N21" s="15"/>
      <c r="O21" s="40" t="s">
        <v>61</v>
      </c>
      <c r="P21" s="43">
        <f>IF(ISNUMBER('Données et calculs'!C7*'Données et calculs'!C16*'Données et calculs'!C12),'Données et calculs'!C7*'Données et calculs'!C16*'Données et calculs'!C12," ")</f>
        <v>361.5625</v>
      </c>
      <c r="Q21" s="42" t="s">
        <v>62</v>
      </c>
      <c r="R21" s="16"/>
      <c r="S21" s="16"/>
      <c r="T21" s="16"/>
      <c r="U21" s="16"/>
      <c r="V21" s="16"/>
      <c r="W21" s="16"/>
      <c r="X21" s="16"/>
      <c r="Y21" s="17"/>
    </row>
    <row r="22" spans="1:25" ht="15" thickBot="1" x14ac:dyDescent="0.35">
      <c r="A22" s="18"/>
      <c r="B22" s="19"/>
      <c r="C22" s="19"/>
      <c r="D22" s="19"/>
      <c r="E22" s="19"/>
      <c r="F22" s="19"/>
      <c r="G22" s="19"/>
      <c r="H22" s="19"/>
      <c r="I22" s="19"/>
      <c r="J22" s="19"/>
      <c r="K22" s="19"/>
      <c r="L22" s="20"/>
      <c r="N22" s="18"/>
      <c r="O22" s="19"/>
      <c r="P22" s="19"/>
      <c r="Q22" s="19"/>
      <c r="R22" s="19"/>
      <c r="S22" s="19"/>
      <c r="T22" s="19"/>
      <c r="U22" s="19"/>
      <c r="V22" s="19"/>
      <c r="W22" s="19"/>
      <c r="X22" s="19"/>
      <c r="Y22" s="20"/>
    </row>
    <row r="24" spans="1:25" ht="15" thickBot="1" x14ac:dyDescent="0.35"/>
    <row r="25" spans="1:25" ht="15" thickBot="1" x14ac:dyDescent="0.35">
      <c r="B25" s="83" t="s">
        <v>54</v>
      </c>
      <c r="C25" s="84"/>
      <c r="D25" s="84"/>
      <c r="E25" s="84"/>
      <c r="F25" s="84"/>
      <c r="G25" s="84"/>
      <c r="H25" s="84"/>
      <c r="I25" s="84"/>
      <c r="J25" s="84"/>
      <c r="K25" s="84"/>
      <c r="L25" s="84"/>
      <c r="M25" s="84"/>
      <c r="N25" s="84"/>
      <c r="O25" s="85"/>
    </row>
    <row r="26" spans="1:25" ht="15" thickBot="1" x14ac:dyDescent="0.35">
      <c r="B26" s="12"/>
      <c r="C26" s="13"/>
      <c r="D26" s="13"/>
      <c r="E26" s="13"/>
      <c r="F26" s="13"/>
      <c r="G26" s="13"/>
      <c r="H26" s="13"/>
      <c r="I26" s="13"/>
      <c r="J26" s="13"/>
      <c r="K26" s="13"/>
      <c r="L26" s="13"/>
      <c r="M26" s="13"/>
      <c r="N26" s="13"/>
      <c r="O26" s="14"/>
    </row>
    <row r="27" spans="1:25" ht="15" thickBot="1" x14ac:dyDescent="0.35">
      <c r="B27" s="15"/>
      <c r="C27" s="69" t="s">
        <v>91</v>
      </c>
      <c r="D27" s="70"/>
      <c r="E27" s="71"/>
      <c r="F27" s="16"/>
      <c r="G27" s="69" t="s">
        <v>33</v>
      </c>
      <c r="H27" s="70"/>
      <c r="I27" s="70"/>
      <c r="J27" s="70"/>
      <c r="K27" s="70"/>
      <c r="L27" s="70"/>
      <c r="M27" s="78"/>
      <c r="N27" s="79"/>
      <c r="O27" s="17"/>
      <c r="T27" s="16"/>
    </row>
    <row r="28" spans="1:25" ht="15" thickBot="1" x14ac:dyDescent="0.35">
      <c r="B28" s="15"/>
      <c r="C28" s="26" t="s">
        <v>106</v>
      </c>
      <c r="D28" s="22">
        <v>5</v>
      </c>
      <c r="E28" s="24" t="s">
        <v>22</v>
      </c>
      <c r="F28" s="16"/>
      <c r="G28" s="72" t="s">
        <v>28</v>
      </c>
      <c r="H28" s="73"/>
      <c r="I28" s="16"/>
      <c r="J28" s="74" t="s">
        <v>31</v>
      </c>
      <c r="K28" s="75"/>
      <c r="L28" s="16"/>
      <c r="M28" s="76" t="s">
        <v>32</v>
      </c>
      <c r="N28" s="77"/>
      <c r="O28" s="17"/>
    </row>
    <row r="29" spans="1:25" x14ac:dyDescent="0.3">
      <c r="B29" s="15"/>
      <c r="C29" s="26" t="s">
        <v>108</v>
      </c>
      <c r="D29" s="21">
        <v>1000</v>
      </c>
      <c r="E29" s="25" t="s">
        <v>24</v>
      </c>
      <c r="F29" s="16"/>
      <c r="G29" s="51" t="s">
        <v>1</v>
      </c>
      <c r="H29" s="46" t="b">
        <v>0</v>
      </c>
      <c r="I29" s="16"/>
      <c r="J29" s="52" t="s">
        <v>100</v>
      </c>
      <c r="K29" s="53" t="b">
        <v>0</v>
      </c>
      <c r="L29" s="16"/>
      <c r="M29" s="52" t="s">
        <v>72</v>
      </c>
      <c r="N29" s="53" t="b">
        <v>0</v>
      </c>
      <c r="O29" s="17"/>
    </row>
    <row r="30" spans="1:25" x14ac:dyDescent="0.3">
      <c r="B30" s="15"/>
      <c r="C30" s="26" t="s">
        <v>107</v>
      </c>
      <c r="D30" s="21">
        <v>2000</v>
      </c>
      <c r="E30" s="25" t="s">
        <v>26</v>
      </c>
      <c r="F30" s="16"/>
      <c r="G30" s="26" t="s">
        <v>2</v>
      </c>
      <c r="H30" s="47" t="b">
        <v>0</v>
      </c>
      <c r="I30" s="16"/>
      <c r="J30" s="26" t="s">
        <v>99</v>
      </c>
      <c r="K30" s="47" t="b">
        <v>0</v>
      </c>
      <c r="L30" s="16"/>
      <c r="M30" s="26" t="s">
        <v>73</v>
      </c>
      <c r="N30" s="47" t="b">
        <v>0</v>
      </c>
      <c r="O30" s="17"/>
    </row>
    <row r="31" spans="1:25" ht="15" thickBot="1" x14ac:dyDescent="0.35">
      <c r="B31" s="15"/>
      <c r="C31" s="27" t="s">
        <v>27</v>
      </c>
      <c r="D31" s="45" t="b">
        <v>1</v>
      </c>
      <c r="E31" s="23"/>
      <c r="F31" s="16"/>
      <c r="G31" s="26" t="s">
        <v>0</v>
      </c>
      <c r="H31" s="47" t="b">
        <v>0</v>
      </c>
      <c r="I31" s="16"/>
      <c r="J31" s="26" t="s">
        <v>101</v>
      </c>
      <c r="K31" s="47" t="b">
        <v>0</v>
      </c>
      <c r="L31" s="16"/>
      <c r="M31" s="26" t="s">
        <v>74</v>
      </c>
      <c r="N31" s="47" t="b">
        <v>0</v>
      </c>
      <c r="O31" s="17"/>
    </row>
    <row r="32" spans="1:25" ht="15" thickBot="1" x14ac:dyDescent="0.35">
      <c r="B32" s="15"/>
      <c r="C32" s="16"/>
      <c r="D32" s="16"/>
      <c r="E32" s="16"/>
      <c r="F32" s="16"/>
      <c r="G32" s="26" t="s">
        <v>3</v>
      </c>
      <c r="H32" s="47" t="b">
        <v>0</v>
      </c>
      <c r="I32" s="16"/>
      <c r="J32" s="2"/>
      <c r="K32" s="48"/>
      <c r="L32" s="16"/>
      <c r="M32" s="26" t="s">
        <v>75</v>
      </c>
      <c r="N32" s="47" t="b">
        <v>1</v>
      </c>
      <c r="O32" s="17"/>
    </row>
    <row r="33" spans="2:15" ht="15" thickBot="1" x14ac:dyDescent="0.35">
      <c r="B33" s="15"/>
      <c r="C33" s="69" t="s">
        <v>90</v>
      </c>
      <c r="D33" s="70"/>
      <c r="E33" s="71"/>
      <c r="F33" s="16"/>
      <c r="G33" s="26" t="s">
        <v>4</v>
      </c>
      <c r="H33" s="47" t="b">
        <v>0</v>
      </c>
      <c r="I33" s="16"/>
      <c r="J33" s="26" t="s">
        <v>79</v>
      </c>
      <c r="K33" s="47" t="b">
        <v>0</v>
      </c>
      <c r="L33" s="16"/>
      <c r="M33" s="26" t="s">
        <v>77</v>
      </c>
      <c r="N33" s="47" t="b">
        <v>0</v>
      </c>
      <c r="O33" s="17"/>
    </row>
    <row r="34" spans="2:15" ht="15" thickBot="1" x14ac:dyDescent="0.35">
      <c r="B34" s="15"/>
      <c r="C34" s="30"/>
      <c r="D34" s="5">
        <v>15</v>
      </c>
      <c r="E34" s="50" t="s">
        <v>56</v>
      </c>
      <c r="F34" s="16"/>
      <c r="G34" s="26" t="s">
        <v>5</v>
      </c>
      <c r="H34" s="47" t="b">
        <v>0</v>
      </c>
      <c r="I34" s="16"/>
      <c r="J34" s="26" t="s">
        <v>80</v>
      </c>
      <c r="K34" s="47" t="b">
        <v>0</v>
      </c>
      <c r="L34" s="16"/>
      <c r="M34" s="26" t="s">
        <v>78</v>
      </c>
      <c r="N34" s="47" t="b">
        <v>0</v>
      </c>
      <c r="O34" s="17"/>
    </row>
    <row r="35" spans="2:15" ht="15" thickBot="1" x14ac:dyDescent="0.35">
      <c r="B35" s="15"/>
      <c r="C35" s="16"/>
      <c r="D35" s="16"/>
      <c r="E35" s="16"/>
      <c r="F35" s="16"/>
      <c r="G35" s="2"/>
      <c r="H35" s="48"/>
      <c r="I35" s="16"/>
      <c r="J35" s="27" t="s">
        <v>81</v>
      </c>
      <c r="K35" s="49" t="b">
        <v>0</v>
      </c>
      <c r="L35" s="16"/>
      <c r="M35" s="2"/>
      <c r="N35" s="3"/>
      <c r="O35" s="17"/>
    </row>
    <row r="36" spans="2:15" ht="15" thickBot="1" x14ac:dyDescent="0.35">
      <c r="B36" s="15"/>
      <c r="C36" s="80" t="s">
        <v>113</v>
      </c>
      <c r="D36" s="78"/>
      <c r="E36" s="79"/>
      <c r="F36" s="16"/>
      <c r="G36" s="26" t="s">
        <v>9</v>
      </c>
      <c r="H36" s="47" t="b">
        <v>0</v>
      </c>
      <c r="I36" s="16"/>
      <c r="J36" s="16"/>
      <c r="K36" s="16"/>
      <c r="L36" s="16"/>
      <c r="M36" s="26" t="s">
        <v>79</v>
      </c>
      <c r="N36" s="47" t="b">
        <v>0</v>
      </c>
      <c r="O36" s="17"/>
    </row>
    <row r="37" spans="2:15" ht="15" thickBot="1" x14ac:dyDescent="0.35">
      <c r="B37" s="15"/>
      <c r="C37" s="61" t="s">
        <v>112</v>
      </c>
      <c r="D37" s="81">
        <v>1</v>
      </c>
      <c r="E37" s="82"/>
      <c r="F37" s="16"/>
      <c r="G37" s="26" t="s">
        <v>29</v>
      </c>
      <c r="H37" s="47" t="b">
        <v>0</v>
      </c>
      <c r="I37" s="16"/>
      <c r="J37" s="16"/>
      <c r="K37" s="16"/>
      <c r="L37" s="16"/>
      <c r="M37" s="26" t="s">
        <v>80</v>
      </c>
      <c r="N37" s="47" t="b">
        <v>1</v>
      </c>
      <c r="O37" s="17"/>
    </row>
    <row r="38" spans="2:15" ht="15" thickBot="1" x14ac:dyDescent="0.35">
      <c r="B38" s="15"/>
      <c r="C38" s="16"/>
      <c r="D38" s="16"/>
      <c r="E38" s="16"/>
      <c r="F38" s="16"/>
      <c r="G38" s="27" t="s">
        <v>30</v>
      </c>
      <c r="H38" s="49" t="b">
        <v>0</v>
      </c>
      <c r="I38" s="16"/>
      <c r="J38" s="16"/>
      <c r="K38" s="16"/>
      <c r="L38" s="16"/>
      <c r="M38" s="27" t="s">
        <v>81</v>
      </c>
      <c r="N38" s="49" t="b">
        <v>0</v>
      </c>
      <c r="O38" s="17"/>
    </row>
    <row r="39" spans="2:15" x14ac:dyDescent="0.3">
      <c r="B39" s="15"/>
      <c r="C39" s="16"/>
      <c r="D39" s="16"/>
      <c r="E39" s="16"/>
      <c r="F39" s="16"/>
      <c r="G39" s="16"/>
      <c r="H39" s="16"/>
      <c r="I39" s="16"/>
      <c r="J39" s="16"/>
      <c r="K39" s="16"/>
      <c r="L39" s="16"/>
      <c r="M39" s="16"/>
      <c r="N39" s="16"/>
      <c r="O39" s="17"/>
    </row>
    <row r="40" spans="2:15" x14ac:dyDescent="0.3">
      <c r="B40" s="15"/>
      <c r="C40" s="68" t="s">
        <v>89</v>
      </c>
      <c r="D40" s="68"/>
      <c r="E40" s="68"/>
      <c r="F40" s="68"/>
      <c r="G40" s="68"/>
      <c r="H40" s="68"/>
      <c r="I40" s="68"/>
      <c r="J40" s="68"/>
      <c r="K40" s="68"/>
      <c r="L40" s="68"/>
      <c r="M40" s="68"/>
      <c r="N40" s="68"/>
      <c r="O40" s="17"/>
    </row>
    <row r="41" spans="2:15" ht="15" thickBot="1" x14ac:dyDescent="0.35">
      <c r="B41" s="18"/>
      <c r="C41" s="19"/>
      <c r="D41" s="19"/>
      <c r="E41" s="19"/>
      <c r="F41" s="19"/>
      <c r="G41" s="19"/>
      <c r="H41" s="19"/>
      <c r="I41" s="19"/>
      <c r="J41" s="19"/>
      <c r="K41" s="19"/>
      <c r="L41" s="19"/>
      <c r="M41" s="19"/>
      <c r="N41" s="19"/>
      <c r="O41" s="20"/>
    </row>
  </sheetData>
  <mergeCells count="17">
    <mergeCell ref="B25:O25"/>
    <mergeCell ref="A1:F1"/>
    <mergeCell ref="A2:F2"/>
    <mergeCell ref="N11:Y11"/>
    <mergeCell ref="V13:X13"/>
    <mergeCell ref="V15:X15"/>
    <mergeCell ref="N3:Y3"/>
    <mergeCell ref="A4:L4"/>
    <mergeCell ref="C40:N40"/>
    <mergeCell ref="C27:E27"/>
    <mergeCell ref="G28:H28"/>
    <mergeCell ref="J28:K28"/>
    <mergeCell ref="M28:N28"/>
    <mergeCell ref="G27:N27"/>
    <mergeCell ref="C33:E33"/>
    <mergeCell ref="C36:E36"/>
    <mergeCell ref="D37:E37"/>
  </mergeCells>
  <conditionalFormatting sqref="V13">
    <cfRule type="expression" dxfId="5" priority="4">
      <formula>R13="&gt;"</formula>
    </cfRule>
    <cfRule type="expression" dxfId="4" priority="5">
      <formula>AND(P13=0,T13=0)</formula>
    </cfRule>
    <cfRule type="expression" dxfId="3" priority="6">
      <formula>R13="≤"</formula>
    </cfRule>
  </conditionalFormatting>
  <conditionalFormatting sqref="V15">
    <cfRule type="expression" dxfId="2" priority="1">
      <formula>R15="&gt;"</formula>
    </cfRule>
    <cfRule type="expression" dxfId="1" priority="2">
      <formula>AND(P15=0,T15=0)</formula>
    </cfRule>
    <cfRule type="expression" dxfId="0" priority="3">
      <formula>R15="≤"</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198120</xdr:colOff>
                    <xdr:row>27</xdr:row>
                    <xdr:rowOff>175260</xdr:rowOff>
                  </from>
                  <to>
                    <xdr:col>7</xdr:col>
                    <xdr:colOff>419100</xdr:colOff>
                    <xdr:row>28</xdr:row>
                    <xdr:rowOff>175260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198120</xdr:colOff>
                    <xdr:row>29</xdr:row>
                    <xdr:rowOff>0</xdr:rowOff>
                  </from>
                  <to>
                    <xdr:col>7</xdr:col>
                    <xdr:colOff>419100</xdr:colOff>
                    <xdr:row>30</xdr:row>
                    <xdr:rowOff>7620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198120</xdr:colOff>
                    <xdr:row>30</xdr:row>
                    <xdr:rowOff>0</xdr:rowOff>
                  </from>
                  <to>
                    <xdr:col>7</xdr:col>
                    <xdr:colOff>419100</xdr:colOff>
                    <xdr:row>31</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198120</xdr:colOff>
                    <xdr:row>31</xdr:row>
                    <xdr:rowOff>0</xdr:rowOff>
                  </from>
                  <to>
                    <xdr:col>7</xdr:col>
                    <xdr:colOff>419100</xdr:colOff>
                    <xdr:row>32</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198120</xdr:colOff>
                    <xdr:row>31</xdr:row>
                    <xdr:rowOff>182880</xdr:rowOff>
                  </from>
                  <to>
                    <xdr:col>7</xdr:col>
                    <xdr:colOff>419100</xdr:colOff>
                    <xdr:row>32</xdr:row>
                    <xdr:rowOff>182880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198120</xdr:colOff>
                    <xdr:row>33</xdr:row>
                    <xdr:rowOff>0</xdr:rowOff>
                  </from>
                  <to>
                    <xdr:col>7</xdr:col>
                    <xdr:colOff>419100</xdr:colOff>
                    <xdr:row>34</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198120</xdr:colOff>
                    <xdr:row>30</xdr:row>
                    <xdr:rowOff>0</xdr:rowOff>
                  </from>
                  <to>
                    <xdr:col>3</xdr:col>
                    <xdr:colOff>419100</xdr:colOff>
                    <xdr:row>31</xdr:row>
                    <xdr:rowOff>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7</xdr:col>
                    <xdr:colOff>198120</xdr:colOff>
                    <xdr:row>35</xdr:row>
                    <xdr:rowOff>0</xdr:rowOff>
                  </from>
                  <to>
                    <xdr:col>7</xdr:col>
                    <xdr:colOff>419100</xdr:colOff>
                    <xdr:row>36</xdr:row>
                    <xdr:rowOff>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7</xdr:col>
                    <xdr:colOff>198120</xdr:colOff>
                    <xdr:row>36</xdr:row>
                    <xdr:rowOff>0</xdr:rowOff>
                  </from>
                  <to>
                    <xdr:col>7</xdr:col>
                    <xdr:colOff>419100</xdr:colOff>
                    <xdr:row>37</xdr:row>
                    <xdr:rowOff>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7</xdr:col>
                    <xdr:colOff>198120</xdr:colOff>
                    <xdr:row>36</xdr:row>
                    <xdr:rowOff>182880</xdr:rowOff>
                  </from>
                  <to>
                    <xdr:col>7</xdr:col>
                    <xdr:colOff>419100</xdr:colOff>
                    <xdr:row>37</xdr:row>
                    <xdr:rowOff>182880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13</xdr:col>
                    <xdr:colOff>213360</xdr:colOff>
                    <xdr:row>27</xdr:row>
                    <xdr:rowOff>190500</xdr:rowOff>
                  </from>
                  <to>
                    <xdr:col>13</xdr:col>
                    <xdr:colOff>419100</xdr:colOff>
                    <xdr:row>28</xdr:row>
                    <xdr:rowOff>175260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13</xdr:col>
                    <xdr:colOff>213360</xdr:colOff>
                    <xdr:row>29</xdr:row>
                    <xdr:rowOff>0</xdr:rowOff>
                  </from>
                  <to>
                    <xdr:col>13</xdr:col>
                    <xdr:colOff>419100</xdr:colOff>
                    <xdr:row>29</xdr:row>
                    <xdr:rowOff>175260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13</xdr:col>
                    <xdr:colOff>213360</xdr:colOff>
                    <xdr:row>30</xdr:row>
                    <xdr:rowOff>7620</xdr:rowOff>
                  </from>
                  <to>
                    <xdr:col>13</xdr:col>
                    <xdr:colOff>419100</xdr:colOff>
                    <xdr:row>30</xdr:row>
                    <xdr:rowOff>182880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13</xdr:col>
                    <xdr:colOff>213360</xdr:colOff>
                    <xdr:row>31</xdr:row>
                    <xdr:rowOff>7620</xdr:rowOff>
                  </from>
                  <to>
                    <xdr:col>13</xdr:col>
                    <xdr:colOff>419100</xdr:colOff>
                    <xdr:row>31</xdr:row>
                    <xdr:rowOff>182880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13</xdr:col>
                    <xdr:colOff>213360</xdr:colOff>
                    <xdr:row>32</xdr:row>
                    <xdr:rowOff>7620</xdr:rowOff>
                  </from>
                  <to>
                    <xdr:col>13</xdr:col>
                    <xdr:colOff>419100</xdr:colOff>
                    <xdr:row>32</xdr:row>
                    <xdr:rowOff>182880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13</xdr:col>
                    <xdr:colOff>213360</xdr:colOff>
                    <xdr:row>33</xdr:row>
                    <xdr:rowOff>7620</xdr:rowOff>
                  </from>
                  <to>
                    <xdr:col>13</xdr:col>
                    <xdr:colOff>419100</xdr:colOff>
                    <xdr:row>33</xdr:row>
                    <xdr:rowOff>182880</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10</xdr:col>
                    <xdr:colOff>213360</xdr:colOff>
                    <xdr:row>32</xdr:row>
                    <xdr:rowOff>7620</xdr:rowOff>
                  </from>
                  <to>
                    <xdr:col>10</xdr:col>
                    <xdr:colOff>419100</xdr:colOff>
                    <xdr:row>32</xdr:row>
                    <xdr:rowOff>182880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10</xdr:col>
                    <xdr:colOff>213360</xdr:colOff>
                    <xdr:row>33</xdr:row>
                    <xdr:rowOff>7620</xdr:rowOff>
                  </from>
                  <to>
                    <xdr:col>10</xdr:col>
                    <xdr:colOff>419100</xdr:colOff>
                    <xdr:row>33</xdr:row>
                    <xdr:rowOff>182880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10</xdr:col>
                    <xdr:colOff>213360</xdr:colOff>
                    <xdr:row>34</xdr:row>
                    <xdr:rowOff>7620</xdr:rowOff>
                  </from>
                  <to>
                    <xdr:col>10</xdr:col>
                    <xdr:colOff>419100</xdr:colOff>
                    <xdr:row>34</xdr:row>
                    <xdr:rowOff>182880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13</xdr:col>
                    <xdr:colOff>213360</xdr:colOff>
                    <xdr:row>35</xdr:row>
                    <xdr:rowOff>7620</xdr:rowOff>
                  </from>
                  <to>
                    <xdr:col>13</xdr:col>
                    <xdr:colOff>419100</xdr:colOff>
                    <xdr:row>35</xdr:row>
                    <xdr:rowOff>182880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13</xdr:col>
                    <xdr:colOff>213360</xdr:colOff>
                    <xdr:row>36</xdr:row>
                    <xdr:rowOff>7620</xdr:rowOff>
                  </from>
                  <to>
                    <xdr:col>13</xdr:col>
                    <xdr:colOff>419100</xdr:colOff>
                    <xdr:row>36</xdr:row>
                    <xdr:rowOff>182880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13</xdr:col>
                    <xdr:colOff>213360</xdr:colOff>
                    <xdr:row>37</xdr:row>
                    <xdr:rowOff>7620</xdr:rowOff>
                  </from>
                  <to>
                    <xdr:col>13</xdr:col>
                    <xdr:colOff>419100</xdr:colOff>
                    <xdr:row>37</xdr:row>
                    <xdr:rowOff>182880</xdr:rowOff>
                  </to>
                </anchor>
              </controlPr>
            </control>
          </mc:Choice>
        </mc:AlternateContent>
        <mc:AlternateContent xmlns:mc="http://schemas.openxmlformats.org/markup-compatibility/2006">
          <mc:Choice Requires="x14">
            <control shapeId="1053" r:id="rId26" name="Check Box 29">
              <controlPr defaultSize="0" autoFill="0" autoLine="0" autoPict="0">
                <anchor moveWithCells="1">
                  <from>
                    <xdr:col>10</xdr:col>
                    <xdr:colOff>213360</xdr:colOff>
                    <xdr:row>28</xdr:row>
                    <xdr:rowOff>7620</xdr:rowOff>
                  </from>
                  <to>
                    <xdr:col>10</xdr:col>
                    <xdr:colOff>419100</xdr:colOff>
                    <xdr:row>29</xdr:row>
                    <xdr:rowOff>0</xdr:rowOff>
                  </to>
                </anchor>
              </controlPr>
            </control>
          </mc:Choice>
        </mc:AlternateContent>
        <mc:AlternateContent xmlns:mc="http://schemas.openxmlformats.org/markup-compatibility/2006">
          <mc:Choice Requires="x14">
            <control shapeId="1054" r:id="rId27" name="Check Box 30">
              <controlPr defaultSize="0" autoFill="0" autoLine="0" autoPict="0">
                <anchor moveWithCells="1">
                  <from>
                    <xdr:col>10</xdr:col>
                    <xdr:colOff>213360</xdr:colOff>
                    <xdr:row>29</xdr:row>
                    <xdr:rowOff>7620</xdr:rowOff>
                  </from>
                  <to>
                    <xdr:col>10</xdr:col>
                    <xdr:colOff>419100</xdr:colOff>
                    <xdr:row>30</xdr:row>
                    <xdr:rowOff>0</xdr:rowOff>
                  </to>
                </anchor>
              </controlPr>
            </control>
          </mc:Choice>
        </mc:AlternateContent>
        <mc:AlternateContent xmlns:mc="http://schemas.openxmlformats.org/markup-compatibility/2006">
          <mc:Choice Requires="x14">
            <control shapeId="1055" r:id="rId28" name="Check Box 31">
              <controlPr defaultSize="0" autoFill="0" autoLine="0" autoPict="0">
                <anchor moveWithCells="1">
                  <from>
                    <xdr:col>10</xdr:col>
                    <xdr:colOff>213360</xdr:colOff>
                    <xdr:row>30</xdr:row>
                    <xdr:rowOff>7620</xdr:rowOff>
                  </from>
                  <to>
                    <xdr:col>10</xdr:col>
                    <xdr:colOff>419100</xdr:colOff>
                    <xdr:row>30</xdr:row>
                    <xdr:rowOff>182880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F395D-C789-4ECE-B702-11958B4A3933}">
  <sheetPr codeName="Sheet3"/>
  <dimension ref="B2:G22"/>
  <sheetViews>
    <sheetView topLeftCell="A2" zoomScale="85" workbookViewId="0">
      <selection activeCell="I16" sqref="I16"/>
    </sheetView>
  </sheetViews>
  <sheetFormatPr baseColWidth="10" defaultColWidth="9.109375" defaultRowHeight="14.4" x14ac:dyDescent="0.3"/>
  <cols>
    <col min="2" max="2" width="26.109375" bestFit="1" customWidth="1"/>
    <col min="3" max="3" width="12" bestFit="1" customWidth="1"/>
    <col min="4" max="4" width="18.6640625" bestFit="1" customWidth="1"/>
    <col min="5" max="5" width="18" bestFit="1" customWidth="1"/>
    <col min="6" max="7" width="12" bestFit="1" customWidth="1"/>
  </cols>
  <sheetData>
    <row r="2" spans="2:7" ht="15" thickBot="1" x14ac:dyDescent="0.35"/>
    <row r="3" spans="2:7" ht="15" thickBot="1" x14ac:dyDescent="0.35">
      <c r="B3" s="93" t="s">
        <v>47</v>
      </c>
      <c r="C3" s="94"/>
      <c r="D3" s="94"/>
      <c r="E3" s="94"/>
      <c r="F3" s="94"/>
      <c r="G3" s="95"/>
    </row>
    <row r="4" spans="2:7" x14ac:dyDescent="0.3">
      <c r="B4" s="28" t="s">
        <v>46</v>
      </c>
      <c r="C4" s="31" t="s">
        <v>34</v>
      </c>
      <c r="D4" s="31" t="s">
        <v>43</v>
      </c>
      <c r="E4" s="31" t="s">
        <v>45</v>
      </c>
      <c r="F4" s="31" t="s">
        <v>44</v>
      </c>
      <c r="G4" s="32" t="s">
        <v>42</v>
      </c>
    </row>
    <row r="5" spans="2:7" x14ac:dyDescent="0.3">
      <c r="B5" s="29" t="s">
        <v>35</v>
      </c>
      <c r="C5" s="1" t="s">
        <v>115</v>
      </c>
      <c r="D5" s="1" t="s">
        <v>116</v>
      </c>
      <c r="E5" s="1" t="s">
        <v>117</v>
      </c>
      <c r="F5" s="1"/>
      <c r="G5" s="4"/>
    </row>
    <row r="6" spans="2:7" x14ac:dyDescent="0.3">
      <c r="B6" s="29" t="s">
        <v>37</v>
      </c>
      <c r="C6" s="36">
        <v>102.2</v>
      </c>
      <c r="D6" s="36">
        <v>2.5</v>
      </c>
      <c r="E6" s="36">
        <v>4</v>
      </c>
      <c r="F6" s="1"/>
      <c r="G6" s="4"/>
    </row>
    <row r="7" spans="2:7" x14ac:dyDescent="0.3">
      <c r="B7" s="29" t="s">
        <v>38</v>
      </c>
      <c r="C7" s="1">
        <v>18.399999999999999</v>
      </c>
      <c r="D7" s="1">
        <v>1</v>
      </c>
      <c r="E7" s="1">
        <v>5.5</v>
      </c>
      <c r="F7" s="1"/>
      <c r="G7" s="4"/>
    </row>
    <row r="8" spans="2:7" x14ac:dyDescent="0.3">
      <c r="B8" s="29" t="s">
        <v>39</v>
      </c>
      <c r="C8" s="60">
        <v>64.5</v>
      </c>
      <c r="D8" s="36">
        <v>960</v>
      </c>
      <c r="E8" s="36">
        <v>96.3</v>
      </c>
      <c r="F8" s="1"/>
      <c r="G8" s="4"/>
    </row>
    <row r="9" spans="2:7" x14ac:dyDescent="0.3">
      <c r="B9" s="29" t="s">
        <v>40</v>
      </c>
      <c r="C9" s="36">
        <v>66.400000000000006</v>
      </c>
      <c r="D9" s="36">
        <v>139.4</v>
      </c>
      <c r="E9" s="36">
        <v>5.3</v>
      </c>
      <c r="F9" s="1"/>
      <c r="G9" s="4"/>
    </row>
    <row r="10" spans="2:7" ht="15" thickBot="1" x14ac:dyDescent="0.35">
      <c r="B10" s="30" t="s">
        <v>111</v>
      </c>
      <c r="C10" s="34">
        <v>225.75</v>
      </c>
      <c r="D10" s="5">
        <v>121.78</v>
      </c>
      <c r="E10" s="5">
        <v>361.56</v>
      </c>
      <c r="F10" s="5"/>
      <c r="G10" s="6"/>
    </row>
    <row r="20" spans="3:3" x14ac:dyDescent="0.3">
      <c r="C20" s="60"/>
    </row>
    <row r="21" spans="3:3" x14ac:dyDescent="0.3">
      <c r="C21" s="60"/>
    </row>
    <row r="22" spans="3:3" x14ac:dyDescent="0.3">
      <c r="C22" s="60"/>
    </row>
  </sheetData>
  <mergeCells count="1">
    <mergeCell ref="B3:G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401C-61DD-430E-9B6C-1434BF3E1FDF}">
  <sheetPr codeName="Sheet1"/>
  <dimension ref="B1:R60"/>
  <sheetViews>
    <sheetView zoomScale="69" workbookViewId="0">
      <selection activeCell="B9" sqref="B9"/>
    </sheetView>
  </sheetViews>
  <sheetFormatPr baseColWidth="10" defaultColWidth="9.109375" defaultRowHeight="14.4" x14ac:dyDescent="0.3"/>
  <cols>
    <col min="2" max="2" width="9.5546875" bestFit="1" customWidth="1"/>
    <col min="3" max="3" width="12" bestFit="1" customWidth="1"/>
    <col min="4" max="4" width="24.33203125" bestFit="1" customWidth="1"/>
    <col min="7" max="7" width="21.33203125" bestFit="1" customWidth="1"/>
    <col min="8" max="8" width="11.5546875" bestFit="1" customWidth="1"/>
    <col min="10" max="10" width="13.33203125" bestFit="1" customWidth="1"/>
    <col min="12" max="12" width="13.44140625" bestFit="1" customWidth="1"/>
    <col min="13" max="13" width="11.5546875" bestFit="1" customWidth="1"/>
    <col min="16" max="16" width="14.33203125" bestFit="1" customWidth="1"/>
    <col min="17" max="17" width="13.44140625" bestFit="1" customWidth="1"/>
    <col min="18" max="18" width="11.5546875" bestFit="1" customWidth="1"/>
  </cols>
  <sheetData>
    <row r="1" spans="2:18" ht="15" thickBot="1" x14ac:dyDescent="0.35"/>
    <row r="2" spans="2:18" ht="15" thickBot="1" x14ac:dyDescent="0.35">
      <c r="B2" s="93" t="s">
        <v>63</v>
      </c>
      <c r="C2" s="95"/>
      <c r="E2" s="103" t="s">
        <v>14</v>
      </c>
      <c r="F2" s="104"/>
      <c r="G2" s="104"/>
      <c r="H2" s="105"/>
      <c r="J2" s="100" t="s">
        <v>103</v>
      </c>
      <c r="K2" s="101"/>
      <c r="L2" s="101"/>
      <c r="M2" s="102"/>
      <c r="O2" s="96" t="s">
        <v>105</v>
      </c>
      <c r="P2" s="97"/>
      <c r="Q2" s="97"/>
      <c r="R2" s="98"/>
    </row>
    <row r="3" spans="2:18" x14ac:dyDescent="0.3">
      <c r="B3" s="7"/>
      <c r="C3" s="9"/>
      <c r="E3" s="7"/>
      <c r="F3" s="8"/>
      <c r="G3" s="8"/>
      <c r="H3" s="9"/>
      <c r="J3" s="7"/>
      <c r="K3" s="8"/>
      <c r="L3" s="8"/>
      <c r="M3" s="9"/>
      <c r="O3" s="7"/>
      <c r="P3" s="8"/>
      <c r="Q3" s="8"/>
      <c r="R3" s="9"/>
    </row>
    <row r="4" spans="2:18" x14ac:dyDescent="0.3">
      <c r="B4" s="29" t="s">
        <v>35</v>
      </c>
      <c r="C4" s="4" t="str">
        <f>IF('Outil de calcul'!H29,'Outil de calcul'!G29,IF('Outil de calcul'!H30,'Outil de calcul'!G30,IF('Outil de calcul'!H31,'Outil de calcul'!G31,IF('Outil de calcul'!H32,'Outil de calcul'!G32,IF('Outil de calcul'!H33,'Outil de calcul'!G33,IF('Outil de calcul'!H34,'Outil de calcul'!G34,IF('Outil de calcul'!N29,'Données et calculs'!J4,IF('Outil de calcul'!N30,'Données et calculs'!J10,IF('Outil de calcul'!N31,'Données et calculs'!J16,IF('Outil de calcul'!N32,'Données et calculs'!J22,IF('Outil de calcul'!N33,'Données et calculs'!J28,IF('Outil de calcul'!N34,'Données et calculs'!J34,IF('Outil de calcul'!K29,'Données et calculs'!O4,IF('Outil de calcul'!K30,'Données et calculs'!O8,IF('Outil de calcul'!K31,'Données et calculs'!O12," ")))))))))))))))</f>
        <v>GL24h</v>
      </c>
      <c r="E4" s="106" t="s">
        <v>1</v>
      </c>
      <c r="F4" s="1" t="s">
        <v>6</v>
      </c>
      <c r="G4" s="1">
        <f>13.2*10^(-4)</f>
        <v>1.32E-3</v>
      </c>
      <c r="H4" s="4" t="s">
        <v>7</v>
      </c>
      <c r="J4" s="99" t="s">
        <v>72</v>
      </c>
      <c r="K4" s="1" t="s">
        <v>93</v>
      </c>
      <c r="L4" s="1">
        <v>50</v>
      </c>
      <c r="M4" s="4" t="s">
        <v>10</v>
      </c>
      <c r="O4" s="99" t="s">
        <v>96</v>
      </c>
      <c r="P4" s="1" t="s">
        <v>102</v>
      </c>
      <c r="Q4" s="1">
        <v>2.9</v>
      </c>
      <c r="R4" s="4" t="s">
        <v>10</v>
      </c>
    </row>
    <row r="5" spans="2:18" x14ac:dyDescent="0.3">
      <c r="B5" s="29" t="s">
        <v>6</v>
      </c>
      <c r="C5" s="4">
        <f>IF(C4=E4,G4,IF(C4=E9,G9,IF(C4=E14,G14,IF(C4=E19,G19,IF(C4=E24,G24,IF(C4=E29,G29,IF(OR('Outil de calcul'!N36,'Outil de calcul'!K33),0.1*0.2,IF(OR('Outil de calcul'!N37,'Outil de calcul'!K34),0.15*0.3,IF(OR('Outil de calcul'!N38,'Outil de calcul'!K35),0.2*0.4," ")))))))))</f>
        <v>4.4999999999999998E-2</v>
      </c>
      <c r="E5" s="107"/>
      <c r="F5" s="1" t="s">
        <v>11</v>
      </c>
      <c r="G5" s="1">
        <f>318*10^(-8)</f>
        <v>3.18E-6</v>
      </c>
      <c r="H5" s="4" t="s">
        <v>8</v>
      </c>
      <c r="J5" s="99"/>
      <c r="K5" s="1" t="s">
        <v>67</v>
      </c>
      <c r="L5" s="1">
        <f>12000*10^6</f>
        <v>12000000000</v>
      </c>
      <c r="M5" s="4" t="s">
        <v>68</v>
      </c>
      <c r="O5" s="99"/>
      <c r="P5" s="1" t="s">
        <v>15</v>
      </c>
      <c r="Q5" s="1">
        <f>254.082/Q18</f>
        <v>0.1058675</v>
      </c>
      <c r="R5" s="4" t="s">
        <v>16</v>
      </c>
    </row>
    <row r="6" spans="2:18" x14ac:dyDescent="0.3">
      <c r="B6" s="29" t="s">
        <v>11</v>
      </c>
      <c r="C6" s="4">
        <f>IF(C4=E4,G5,IF(C4=E9,G10,IF(C4=E14,G15,IF(C4=E19,G20,IF(C4=E24,G25,IF(C4=E29,G30,IF(OR('Outil de calcul'!N36,'Outil de calcul'!K33),0.1*0.2^3/12,IF(OR('Outil de calcul'!N37,'Outil de calcul'!K34),0.15*0.3^3/12,IF(OR('Outil de calcul'!N38,'Outil de calcul'!K35),0.2*0.4^3/12," ")))))))))</f>
        <v>3.3749999999999996E-4</v>
      </c>
      <c r="E6" s="107"/>
      <c r="F6" s="1" t="s">
        <v>12</v>
      </c>
      <c r="G6" s="1">
        <v>10.4</v>
      </c>
      <c r="H6" s="4" t="s">
        <v>13</v>
      </c>
      <c r="J6" s="99"/>
      <c r="K6" s="1" t="s">
        <v>12</v>
      </c>
      <c r="L6" s="1">
        <v>540</v>
      </c>
      <c r="M6" s="4" t="s">
        <v>84</v>
      </c>
      <c r="O6" s="99"/>
      <c r="P6" s="1" t="s">
        <v>17</v>
      </c>
      <c r="Q6" s="1">
        <f>155.33/Q18</f>
        <v>6.4720833333333339E-2</v>
      </c>
      <c r="R6" s="4" t="s">
        <v>18</v>
      </c>
    </row>
    <row r="7" spans="2:18" x14ac:dyDescent="0.3">
      <c r="B7" s="29" t="s">
        <v>12</v>
      </c>
      <c r="C7" s="4">
        <f>IF(C4=E4,G6,IF(C4=E9,G11,IF(C4=E14,G16,IF(C4=E19,G21,IF(C4=E24,G26,IF(C4=E29,G31,IF(C4=J4,L6*C5,IF(C4=J10,L12*C5,IF(C4=J16,L18*C5,IF(C4=J22,L24*C5,IF(C4=J28,L30*C5,IF(C4=J34,L36*C5,IF(OR(C4=O4,C4=O8,C4=O12),Q18*C5," ")))))))))))))</f>
        <v>19.266055045871557</v>
      </c>
      <c r="E7" s="108"/>
      <c r="F7" s="1" t="s">
        <v>66</v>
      </c>
      <c r="G7" s="1">
        <v>0.12</v>
      </c>
      <c r="H7" s="4" t="s">
        <v>22</v>
      </c>
      <c r="J7" s="99"/>
      <c r="K7" s="1" t="s">
        <v>15</v>
      </c>
      <c r="L7" s="1">
        <f>23.6149/L6</f>
        <v>4.3731296296296296E-2</v>
      </c>
      <c r="M7" s="4" t="s">
        <v>16</v>
      </c>
      <c r="O7" s="2"/>
      <c r="R7" s="3"/>
    </row>
    <row r="8" spans="2:18" x14ac:dyDescent="0.3">
      <c r="B8" s="29" t="s">
        <v>114</v>
      </c>
      <c r="C8" s="4">
        <f>IF('Outil de calcul'!H36,235,IF('Outil de calcul'!H37,355,IF('Outil de calcul'!H38,460,IF(C4=J4,L4,IF(C4=J10,L10,IF(C4=J16,L16,IF(C4=J22,L22,IF(C4=J28,L28,IF(C4=J34,L34,IF(C4=O4,Q4,IF(C4=O8,Q8,IF(C4=O12,Q12," "))))))))))))</f>
        <v>19.2</v>
      </c>
      <c r="E8" s="2"/>
      <c r="H8" s="3"/>
      <c r="J8" s="99"/>
      <c r="K8" s="1" t="s">
        <v>17</v>
      </c>
      <c r="L8" s="1">
        <f>39/L6</f>
        <v>7.2222222222222215E-2</v>
      </c>
      <c r="M8" s="4" t="s">
        <v>18</v>
      </c>
      <c r="O8" s="99" t="s">
        <v>98</v>
      </c>
      <c r="P8" s="1" t="s">
        <v>102</v>
      </c>
      <c r="Q8" s="1">
        <v>3.2</v>
      </c>
      <c r="R8" s="4" t="s">
        <v>10</v>
      </c>
    </row>
    <row r="9" spans="2:18" x14ac:dyDescent="0.3">
      <c r="B9" s="29" t="s">
        <v>67</v>
      </c>
      <c r="C9" s="4">
        <f>IF(OR('Outil de calcul'!H29,'Outil de calcul'!H30,'Outil de calcul'!H31,'Outil de calcul'!H32,'Outil de calcul'!H33,'Outil de calcul'!H34),'Données et calculs'!G34,IF(C4=J4,L5,IF(C4=J10,L11,IF(C4=J16,L17,IF(C4=J22,L23,IF(C4=J28,L29,IF(C4=J34,L35,IF(OR(C4=O4,C4=O8,C4=O12),Q16," "))))))))</f>
        <v>11500000000</v>
      </c>
      <c r="E9" s="106" t="s">
        <v>2</v>
      </c>
      <c r="F9" s="1" t="s">
        <v>6</v>
      </c>
      <c r="G9" s="1">
        <f>16.4*10^(-4)</f>
        <v>1.64E-3</v>
      </c>
      <c r="H9" s="4" t="s">
        <v>7</v>
      </c>
      <c r="J9" s="2"/>
      <c r="M9" s="3"/>
      <c r="O9" s="99"/>
      <c r="P9" s="1" t="s">
        <v>15</v>
      </c>
      <c r="Q9" s="1">
        <f>(254.082+299.072)/(2*Q18)</f>
        <v>0.11524041666666666</v>
      </c>
      <c r="R9" s="4" t="s">
        <v>16</v>
      </c>
    </row>
    <row r="10" spans="2:18" x14ac:dyDescent="0.3">
      <c r="B10" s="29" t="s">
        <v>66</v>
      </c>
      <c r="C10" s="4">
        <f>IF(C4=E4,G7,IF(C4=E9,G12,IF(C4=E14,G17,IF(C4=E19,G22,IF(C4=E24,G27,IF(C4=E29,G32,IF(OR('Outil de calcul'!N36,'Outil de calcul'!K33),0.2,IF(OR('Outil de calcul'!N37,'Outil de calcul'!K34),0.3,IF(OR('Outil de calcul'!N38,'Outil de calcul'!K35),0.4," ")))))))))</f>
        <v>0.3</v>
      </c>
      <c r="E10" s="107"/>
      <c r="F10" s="1" t="s">
        <v>11</v>
      </c>
      <c r="G10" s="1">
        <f>541*10^(-8)</f>
        <v>5.4099999999999999E-6</v>
      </c>
      <c r="H10" s="4" t="s">
        <v>8</v>
      </c>
      <c r="J10" s="99" t="s">
        <v>73</v>
      </c>
      <c r="K10" s="1" t="s">
        <v>93</v>
      </c>
      <c r="L10" s="1">
        <v>60</v>
      </c>
      <c r="M10" s="4" t="s">
        <v>10</v>
      </c>
      <c r="O10" s="99"/>
      <c r="P10" s="1" t="s">
        <v>17</v>
      </c>
      <c r="Q10" s="1">
        <f>164.05/Q18</f>
        <v>6.8354166666666674E-2</v>
      </c>
      <c r="R10" s="4" t="s">
        <v>18</v>
      </c>
    </row>
    <row r="11" spans="2:18" x14ac:dyDescent="0.3">
      <c r="B11" s="29" t="s">
        <v>15</v>
      </c>
      <c r="C11" s="4">
        <f>IF(OR('Outil de calcul'!H29,'Outil de calcul'!H30,'Outil de calcul'!H31,'Outil de calcul'!H32,'Outil de calcul'!H33,'Outil de calcul'!H34),'Données et calculs'!G36,IF(C4=J4,L7,IF(C4=J10,L13,IF(C4=J16,L19,IF(C4=J22,L25,IF(C4=J28,L31,IF(C4=J34,L37,IF(C4=O4,Q5+0.02*G36,IF(C4=O8,Q9+0.02*G36,IF(C4=O12,Q13+0.02*G36," "))))))))))</f>
        <v>5.5157659285714283E-2</v>
      </c>
      <c r="E11" s="107"/>
      <c r="F11" s="1" t="s">
        <v>12</v>
      </c>
      <c r="G11" s="1">
        <v>12.9</v>
      </c>
      <c r="H11" s="4" t="s">
        <v>13</v>
      </c>
      <c r="J11" s="99"/>
      <c r="K11" s="1" t="s">
        <v>67</v>
      </c>
      <c r="L11" s="1">
        <f>13000*10^6</f>
        <v>13000000000</v>
      </c>
      <c r="M11" s="4" t="s">
        <v>68</v>
      </c>
      <c r="O11" s="2"/>
      <c r="R11" s="3"/>
    </row>
    <row r="12" spans="2:18" ht="15" thickBot="1" x14ac:dyDescent="0.35">
      <c r="B12" s="30" t="s">
        <v>17</v>
      </c>
      <c r="C12" s="6">
        <f>IF(OR('Outil de calcul'!H29,'Outil de calcul'!H30,'Outil de calcul'!H31,'Outil de calcul'!H32,'Outil de calcul'!H33,'Outil de calcul'!H34),'Données et calculs'!G38,IF(C4=J4,L8,IF(C4=J10,L14,IF(C4=J16,L20,IF(C4=J22,L26,IF(C4=J28,L32,IF(C4=J34,L38,IF(C4=O4,Q6+0.02*Q20,IF(C4=O8,Q10+0.02*Q20,IF(C4=O12,Q14+0.02*Q20," "))))))))))</f>
        <v>3.7533630952380959</v>
      </c>
      <c r="E12" s="108"/>
      <c r="F12" s="1" t="s">
        <v>66</v>
      </c>
      <c r="G12" s="1">
        <v>0.14000000000000001</v>
      </c>
      <c r="H12" s="4" t="s">
        <v>22</v>
      </c>
      <c r="J12" s="99"/>
      <c r="K12" s="1" t="s">
        <v>12</v>
      </c>
      <c r="L12" s="1">
        <v>780</v>
      </c>
      <c r="M12" s="4" t="s">
        <v>84</v>
      </c>
      <c r="O12" s="99" t="s">
        <v>97</v>
      </c>
      <c r="P12" s="1" t="s">
        <v>102</v>
      </c>
      <c r="Q12" s="1">
        <v>3.5</v>
      </c>
      <c r="R12" s="4" t="s">
        <v>10</v>
      </c>
    </row>
    <row r="13" spans="2:18" ht="15" thickBot="1" x14ac:dyDescent="0.35">
      <c r="E13" s="2"/>
      <c r="H13" s="3"/>
      <c r="J13" s="99"/>
      <c r="K13" s="1" t="s">
        <v>15</v>
      </c>
      <c r="L13" s="1">
        <f>23.6149/L12</f>
        <v>3.0275512820512818E-2</v>
      </c>
      <c r="M13" s="4" t="s">
        <v>16</v>
      </c>
      <c r="O13" s="99"/>
      <c r="P13" s="1" t="s">
        <v>15</v>
      </c>
      <c r="Q13" s="1">
        <f>299.072/Q18</f>
        <v>0.12461333333333334</v>
      </c>
      <c r="R13" s="4" t="s">
        <v>16</v>
      </c>
    </row>
    <row r="14" spans="2:18" ht="15" thickBot="1" x14ac:dyDescent="0.35">
      <c r="B14" s="93" t="s">
        <v>70</v>
      </c>
      <c r="C14" s="95"/>
      <c r="E14" s="106" t="s">
        <v>0</v>
      </c>
      <c r="F14" s="1" t="s">
        <v>6</v>
      </c>
      <c r="G14" s="1">
        <f>27.1*10^(-4)</f>
        <v>2.7100000000000002E-3</v>
      </c>
      <c r="H14" s="4" t="s">
        <v>7</v>
      </c>
      <c r="J14" s="99"/>
      <c r="K14" s="1" t="s">
        <v>17</v>
      </c>
      <c r="L14" s="1">
        <f>190/L12</f>
        <v>0.24358974358974358</v>
      </c>
      <c r="M14" s="4" t="s">
        <v>18</v>
      </c>
      <c r="O14" s="99"/>
      <c r="P14" s="1" t="s">
        <v>17</v>
      </c>
      <c r="Q14" s="1">
        <f>178.68/Q18</f>
        <v>7.4450000000000002E-2</v>
      </c>
      <c r="R14" s="4" t="s">
        <v>18</v>
      </c>
    </row>
    <row r="15" spans="2:18" x14ac:dyDescent="0.3">
      <c r="B15" s="7"/>
      <c r="C15" s="9"/>
      <c r="E15" s="107"/>
      <c r="F15" s="1" t="s">
        <v>11</v>
      </c>
      <c r="G15" s="1">
        <f>1317*10^(-8)</f>
        <v>1.3170000000000001E-5</v>
      </c>
      <c r="H15" s="4" t="s">
        <v>8</v>
      </c>
      <c r="J15" s="2"/>
      <c r="M15" s="3"/>
      <c r="O15" s="2"/>
      <c r="R15" s="3"/>
    </row>
    <row r="16" spans="2:18" x14ac:dyDescent="0.3">
      <c r="B16" s="29" t="s">
        <v>21</v>
      </c>
      <c r="C16" s="4">
        <f>'Outil de calcul'!D28</f>
        <v>5</v>
      </c>
      <c r="E16" s="107"/>
      <c r="F16" s="1" t="s">
        <v>12</v>
      </c>
      <c r="G16" s="1">
        <v>18.8</v>
      </c>
      <c r="H16" s="4" t="s">
        <v>13</v>
      </c>
      <c r="J16" s="99" t="s">
        <v>82</v>
      </c>
      <c r="K16" s="1" t="s">
        <v>93</v>
      </c>
      <c r="L16" s="1">
        <v>45</v>
      </c>
      <c r="M16" s="4" t="s">
        <v>10</v>
      </c>
      <c r="O16" s="2"/>
      <c r="P16" s="1" t="s">
        <v>67</v>
      </c>
      <c r="Q16" s="1">
        <f>35*10^9</f>
        <v>35000000000</v>
      </c>
      <c r="R16" s="4" t="s">
        <v>68</v>
      </c>
    </row>
    <row r="17" spans="2:18" x14ac:dyDescent="0.3">
      <c r="B17" s="29" t="s">
        <v>25</v>
      </c>
      <c r="C17" s="4">
        <f>'Outil de calcul'!D30</f>
        <v>2000</v>
      </c>
      <c r="E17" s="108"/>
      <c r="F17" s="1" t="s">
        <v>66</v>
      </c>
      <c r="G17" s="1">
        <v>0.18</v>
      </c>
      <c r="H17" s="4" t="s">
        <v>22</v>
      </c>
      <c r="J17" s="99"/>
      <c r="K17" s="1" t="s">
        <v>67</v>
      </c>
      <c r="L17" s="1">
        <f>11000*10^6</f>
        <v>11000000000</v>
      </c>
      <c r="M17" s="4" t="s">
        <v>68</v>
      </c>
      <c r="O17" s="2"/>
      <c r="R17" s="3"/>
    </row>
    <row r="18" spans="2:18" x14ac:dyDescent="0.3">
      <c r="B18" s="29" t="s">
        <v>64</v>
      </c>
      <c r="C18" s="4">
        <f>IF('Outil de calcul'!D31,9.81*'Données et calculs'!C7,0)</f>
        <v>188.99999999999997</v>
      </c>
      <c r="E18" s="2"/>
      <c r="H18" s="3"/>
      <c r="J18" s="99"/>
      <c r="K18" s="1" t="s">
        <v>12</v>
      </c>
      <c r="L18" s="1">
        <v>460</v>
      </c>
      <c r="M18" s="4" t="s">
        <v>84</v>
      </c>
      <c r="O18" s="2"/>
      <c r="P18" s="1" t="s">
        <v>12</v>
      </c>
      <c r="Q18" s="1">
        <v>2400</v>
      </c>
      <c r="R18" s="4" t="s">
        <v>84</v>
      </c>
    </row>
    <row r="19" spans="2:18" x14ac:dyDescent="0.3">
      <c r="B19" s="29" t="s">
        <v>23</v>
      </c>
      <c r="C19" s="4">
        <f>'Outil de calcul'!D29</f>
        <v>1000</v>
      </c>
      <c r="E19" s="106" t="s">
        <v>3</v>
      </c>
      <c r="F19" s="1" t="s">
        <v>6</v>
      </c>
      <c r="G19" s="1">
        <f>39.1*10^(-4)</f>
        <v>3.9100000000000003E-3</v>
      </c>
      <c r="H19" s="4" t="s">
        <v>7</v>
      </c>
      <c r="J19" s="99"/>
      <c r="K19" s="1" t="s">
        <v>15</v>
      </c>
      <c r="L19" s="1">
        <f>23.6149/L18</f>
        <v>5.133673913043478E-2</v>
      </c>
      <c r="M19" s="4" t="s">
        <v>16</v>
      </c>
      <c r="O19" s="2"/>
      <c r="R19" s="3"/>
    </row>
    <row r="20" spans="2:18" ht="15" thickBot="1" x14ac:dyDescent="0.35">
      <c r="B20" s="29" t="s">
        <v>71</v>
      </c>
      <c r="C20" s="4">
        <f>(C17+C18)*C16^2/8 + C19*C16/4</f>
        <v>8090.625</v>
      </c>
      <c r="E20" s="107"/>
      <c r="F20" s="1" t="s">
        <v>11</v>
      </c>
      <c r="G20" s="1">
        <f>3892*10^(-8)</f>
        <v>3.892E-5</v>
      </c>
      <c r="H20" s="4" t="s">
        <v>8</v>
      </c>
      <c r="J20" s="99"/>
      <c r="K20" s="1" t="s">
        <v>17</v>
      </c>
      <c r="L20" s="1">
        <f>46/L18</f>
        <v>0.1</v>
      </c>
      <c r="M20" s="4" t="s">
        <v>18</v>
      </c>
      <c r="O20" s="10"/>
      <c r="P20" s="5" t="s">
        <v>104</v>
      </c>
      <c r="Q20" s="5">
        <v>2.62</v>
      </c>
      <c r="R20" s="6" t="s">
        <v>18</v>
      </c>
    </row>
    <row r="21" spans="2:18" x14ac:dyDescent="0.3">
      <c r="B21" s="29" t="s">
        <v>65</v>
      </c>
      <c r="C21" s="4">
        <f>C20*C10/(2*C6)</f>
        <v>3595833.3333333335</v>
      </c>
      <c r="E21" s="107"/>
      <c r="F21" s="1" t="s">
        <v>12</v>
      </c>
      <c r="G21" s="1">
        <v>30.7</v>
      </c>
      <c r="H21" s="4" t="s">
        <v>13</v>
      </c>
      <c r="J21" s="2"/>
      <c r="M21" s="3"/>
    </row>
    <row r="22" spans="2:18" ht="15" thickBot="1" x14ac:dyDescent="0.35">
      <c r="B22" s="30" t="s">
        <v>69</v>
      </c>
      <c r="C22" s="6">
        <f>5*(C17+C18)*C16^4/(364*C9*C6) + C19*C16^3/(48*C9*C6)</f>
        <v>5.5129384839529777E-3</v>
      </c>
      <c r="E22" s="108"/>
      <c r="F22" s="1" t="s">
        <v>66</v>
      </c>
      <c r="G22" s="1">
        <v>0.24</v>
      </c>
      <c r="H22" s="4" t="s">
        <v>22</v>
      </c>
      <c r="J22" s="99" t="s">
        <v>75</v>
      </c>
      <c r="K22" s="1" t="s">
        <v>83</v>
      </c>
      <c r="L22" s="1">
        <v>19.2</v>
      </c>
      <c r="M22" s="4" t="s">
        <v>10</v>
      </c>
    </row>
    <row r="23" spans="2:18" x14ac:dyDescent="0.3">
      <c r="E23" s="2"/>
      <c r="H23" s="3"/>
      <c r="J23" s="99"/>
      <c r="K23" s="1" t="s">
        <v>67</v>
      </c>
      <c r="L23" s="1">
        <f>11500*10^6</f>
        <v>11500000000</v>
      </c>
      <c r="M23" s="4" t="s">
        <v>68</v>
      </c>
    </row>
    <row r="24" spans="2:18" x14ac:dyDescent="0.3">
      <c r="E24" s="106" t="s">
        <v>4</v>
      </c>
      <c r="F24" s="1" t="s">
        <v>6</v>
      </c>
      <c r="G24" s="1">
        <f>53.8*10^(-4)</f>
        <v>5.3800000000000002E-3</v>
      </c>
      <c r="H24" s="4" t="s">
        <v>7</v>
      </c>
      <c r="J24" s="99"/>
      <c r="K24" s="1" t="s">
        <v>12</v>
      </c>
      <c r="L24" s="1">
        <f>4200/9.81</f>
        <v>428.13455657492352</v>
      </c>
      <c r="M24" s="4" t="s">
        <v>84</v>
      </c>
    </row>
    <row r="25" spans="2:18" x14ac:dyDescent="0.3">
      <c r="E25" s="107"/>
      <c r="F25" s="1" t="s">
        <v>11</v>
      </c>
      <c r="G25" s="1">
        <f>8356*10^(-8)</f>
        <v>8.3560000000000006E-5</v>
      </c>
      <c r="H25" s="4" t="s">
        <v>8</v>
      </c>
      <c r="J25" s="99"/>
      <c r="K25" s="1" t="s">
        <v>15</v>
      </c>
      <c r="L25" s="1">
        <f>23.6149/L24</f>
        <v>5.5157659285714283E-2</v>
      </c>
      <c r="M25" s="4" t="s">
        <v>16</v>
      </c>
    </row>
    <row r="26" spans="2:18" x14ac:dyDescent="0.3">
      <c r="E26" s="107"/>
      <c r="F26" s="1" t="s">
        <v>12</v>
      </c>
      <c r="G26" s="1">
        <v>42.2</v>
      </c>
      <c r="H26" s="4" t="s">
        <v>13</v>
      </c>
      <c r="J26" s="99"/>
      <c r="K26" s="1" t="s">
        <v>17</v>
      </c>
      <c r="L26" s="1">
        <f>46.28/(0.32*0.09*L24)</f>
        <v>3.7533630952380959</v>
      </c>
      <c r="M26" s="4" t="s">
        <v>18</v>
      </c>
    </row>
    <row r="27" spans="2:18" x14ac:dyDescent="0.3">
      <c r="E27" s="108"/>
      <c r="F27" s="1" t="s">
        <v>66</v>
      </c>
      <c r="G27" s="1">
        <v>0.3</v>
      </c>
      <c r="H27" s="4" t="s">
        <v>22</v>
      </c>
      <c r="J27" s="2"/>
      <c r="M27" s="3"/>
    </row>
    <row r="28" spans="2:18" x14ac:dyDescent="0.3">
      <c r="E28" s="2"/>
      <c r="H28" s="3"/>
      <c r="J28" s="99" t="s">
        <v>77</v>
      </c>
      <c r="K28" s="1" t="s">
        <v>83</v>
      </c>
      <c r="L28" s="1">
        <v>22.3</v>
      </c>
      <c r="M28" s="4" t="s">
        <v>10</v>
      </c>
    </row>
    <row r="29" spans="2:18" x14ac:dyDescent="0.3">
      <c r="E29" s="106" t="s">
        <v>5</v>
      </c>
      <c r="F29" s="1" t="s">
        <v>6</v>
      </c>
      <c r="G29" s="1">
        <f>84.5*10^(-4)</f>
        <v>8.4500000000000009E-3</v>
      </c>
      <c r="H29" s="4" t="s">
        <v>7</v>
      </c>
      <c r="J29" s="99"/>
      <c r="K29" s="1" t="s">
        <v>67</v>
      </c>
      <c r="L29" s="1">
        <f>126000*10^6</f>
        <v>126000000000</v>
      </c>
      <c r="M29" s="4" t="s">
        <v>68</v>
      </c>
    </row>
    <row r="30" spans="2:18" x14ac:dyDescent="0.3">
      <c r="E30" s="107"/>
      <c r="F30" s="1" t="s">
        <v>11</v>
      </c>
      <c r="G30" s="1">
        <f>23130*10^(-8)</f>
        <v>2.3130000000000001E-4</v>
      </c>
      <c r="H30" s="4" t="s">
        <v>8</v>
      </c>
      <c r="J30" s="99"/>
      <c r="K30" s="1" t="s">
        <v>12</v>
      </c>
      <c r="L30" s="1">
        <f>4600/9.81</f>
        <v>468.90927624872575</v>
      </c>
      <c r="M30" s="4" t="s">
        <v>84</v>
      </c>
    </row>
    <row r="31" spans="2:18" x14ac:dyDescent="0.3">
      <c r="E31" s="107"/>
      <c r="F31" s="1" t="s">
        <v>12</v>
      </c>
      <c r="G31" s="1">
        <v>66.3</v>
      </c>
      <c r="H31" s="4" t="s">
        <v>13</v>
      </c>
      <c r="J31" s="99"/>
      <c r="K31" s="1" t="s">
        <v>15</v>
      </c>
      <c r="L31" s="1">
        <f>23.6149/L30</f>
        <v>5.0361341086956522E-2</v>
      </c>
      <c r="M31" s="4" t="s">
        <v>16</v>
      </c>
    </row>
    <row r="32" spans="2:18" x14ac:dyDescent="0.3">
      <c r="E32" s="108"/>
      <c r="F32" s="1" t="s">
        <v>66</v>
      </c>
      <c r="G32" s="1">
        <v>0.4</v>
      </c>
      <c r="H32" s="4" t="s">
        <v>22</v>
      </c>
      <c r="J32" s="99"/>
      <c r="K32" s="1" t="s">
        <v>17</v>
      </c>
      <c r="L32" s="1">
        <f>46.28/(0.32*0.09*L30)</f>
        <v>3.4269836956521744</v>
      </c>
      <c r="M32" s="4" t="s">
        <v>18</v>
      </c>
    </row>
    <row r="33" spans="4:13" x14ac:dyDescent="0.3">
      <c r="E33" s="2"/>
      <c r="H33" s="3"/>
      <c r="J33" s="2"/>
      <c r="M33" s="3"/>
    </row>
    <row r="34" spans="4:13" x14ac:dyDescent="0.3">
      <c r="E34" s="2"/>
      <c r="F34" s="1" t="s">
        <v>67</v>
      </c>
      <c r="G34" s="1">
        <f>210*10^9</f>
        <v>210000000000</v>
      </c>
      <c r="H34" s="4" t="s">
        <v>68</v>
      </c>
      <c r="J34" s="99" t="s">
        <v>78</v>
      </c>
      <c r="K34" s="1" t="s">
        <v>83</v>
      </c>
      <c r="L34" s="1">
        <v>25.6</v>
      </c>
      <c r="M34" s="4" t="s">
        <v>10</v>
      </c>
    </row>
    <row r="35" spans="4:13" x14ac:dyDescent="0.3">
      <c r="E35" s="2"/>
      <c r="H35" s="3"/>
      <c r="J35" s="99"/>
      <c r="K35" s="1" t="s">
        <v>67</v>
      </c>
      <c r="L35" s="1">
        <f>142000*10^6</f>
        <v>142000000000</v>
      </c>
      <c r="M35" s="4" t="s">
        <v>68</v>
      </c>
    </row>
    <row r="36" spans="4:13" x14ac:dyDescent="0.3">
      <c r="E36" s="2"/>
      <c r="F36" s="1" t="s">
        <v>15</v>
      </c>
      <c r="G36" s="11">
        <v>1.02887</v>
      </c>
      <c r="H36" s="4" t="s">
        <v>16</v>
      </c>
      <c r="J36" s="99"/>
      <c r="K36" s="1" t="s">
        <v>12</v>
      </c>
      <c r="L36" s="1">
        <f>4900/9.81</f>
        <v>499.49031600407744</v>
      </c>
      <c r="M36" s="4" t="s">
        <v>84</v>
      </c>
    </row>
    <row r="37" spans="4:13" x14ac:dyDescent="0.3">
      <c r="E37" s="2"/>
      <c r="H37" s="3"/>
      <c r="J37" s="99"/>
      <c r="K37" s="1" t="s">
        <v>15</v>
      </c>
      <c r="L37" s="1">
        <f>23.6149/L36</f>
        <v>4.7277993673469389E-2</v>
      </c>
      <c r="M37" s="4" t="s">
        <v>16</v>
      </c>
    </row>
    <row r="38" spans="4:13" ht="15" thickBot="1" x14ac:dyDescent="0.35">
      <c r="E38" s="10"/>
      <c r="F38" s="5" t="s">
        <v>17</v>
      </c>
      <c r="G38" s="5">
        <v>3.5</v>
      </c>
      <c r="H38" s="6" t="s">
        <v>18</v>
      </c>
      <c r="J38" s="109"/>
      <c r="K38" s="5" t="s">
        <v>17</v>
      </c>
      <c r="L38" s="5">
        <f>46.28/(0.32*0.09*L36)</f>
        <v>3.2171683673469391</v>
      </c>
      <c r="M38" s="6" t="s">
        <v>18</v>
      </c>
    </row>
    <row r="42" spans="4:13" ht="15" thickBot="1" x14ac:dyDescent="0.35"/>
    <row r="43" spans="4:13" ht="15" thickBot="1" x14ac:dyDescent="0.35">
      <c r="D43" s="93" t="s">
        <v>48</v>
      </c>
      <c r="E43" s="94"/>
      <c r="F43" s="94"/>
      <c r="G43" s="94"/>
      <c r="H43" s="94"/>
      <c r="I43" s="94"/>
      <c r="J43" s="94"/>
      <c r="K43" s="94"/>
      <c r="L43" s="95"/>
    </row>
    <row r="44" spans="4:13" x14ac:dyDescent="0.3">
      <c r="D44" s="7" t="s">
        <v>49</v>
      </c>
      <c r="E44" s="8"/>
      <c r="F44" s="8"/>
      <c r="G44" s="8" t="s">
        <v>50</v>
      </c>
      <c r="H44" s="8"/>
      <c r="I44" s="8"/>
      <c r="J44" s="8"/>
      <c r="K44" s="8"/>
      <c r="L44" s="9"/>
    </row>
    <row r="45" spans="4:13" x14ac:dyDescent="0.3">
      <c r="D45" s="29" t="s">
        <v>37</v>
      </c>
      <c r="E45" s="1">
        <f>MAX('Outil de comparaison'!C6:G6)</f>
        <v>102.2</v>
      </c>
      <c r="G45" s="33" t="s">
        <v>36</v>
      </c>
      <c r="H45" s="36">
        <f>100*'Outil de comparaison'!C6/'Données et calculs'!E45</f>
        <v>100</v>
      </c>
      <c r="I45" s="36">
        <f>100*'Outil de comparaison'!D6/'Données et calculs'!E45</f>
        <v>2.4461839530332679</v>
      </c>
      <c r="J45" s="36">
        <f>100*'Outil de comparaison'!E6/'Données et calculs'!E45</f>
        <v>3.9138943248532287</v>
      </c>
      <c r="K45" s="36">
        <f>100*'Outil de comparaison'!F6/'Données et calculs'!E45</f>
        <v>0</v>
      </c>
      <c r="L45" s="37">
        <f>100*'Outil de comparaison'!G6/'Données et calculs'!E45</f>
        <v>0</v>
      </c>
    </row>
    <row r="46" spans="4:13" x14ac:dyDescent="0.3">
      <c r="D46" s="29" t="s">
        <v>38</v>
      </c>
      <c r="E46" s="1">
        <f>MAX('Outil de comparaison'!C7:G7)</f>
        <v>18.399999999999999</v>
      </c>
      <c r="G46" s="33" t="s">
        <v>51</v>
      </c>
      <c r="H46" s="36">
        <f>100*'Outil de comparaison'!C7/'Données et calculs'!E46</f>
        <v>100</v>
      </c>
      <c r="I46" s="36">
        <f>100*'Outil de comparaison'!D7/'Données et calculs'!E46</f>
        <v>5.4347826086956523</v>
      </c>
      <c r="J46" s="36">
        <f>100*'Outil de comparaison'!E7/'Données et calculs'!E46</f>
        <v>29.89130434782609</v>
      </c>
      <c r="K46" s="36">
        <f>100*'Outil de comparaison'!F7/'Données et calculs'!E46</f>
        <v>0</v>
      </c>
      <c r="L46" s="37">
        <f>100*'Outil de comparaison'!G7/'Données et calculs'!E46</f>
        <v>0</v>
      </c>
    </row>
    <row r="47" spans="4:13" x14ac:dyDescent="0.3">
      <c r="D47" s="29" t="s">
        <v>39</v>
      </c>
      <c r="E47" s="1">
        <f>MAX('Outil de comparaison'!C8:G8)</f>
        <v>960</v>
      </c>
      <c r="G47" s="33" t="s">
        <v>52</v>
      </c>
      <c r="H47" s="36">
        <f>100*'Outil de comparaison'!C8/'Données et calculs'!E47</f>
        <v>6.71875</v>
      </c>
      <c r="I47" s="36">
        <f>100*'Outil de comparaison'!D8/'Données et calculs'!E47</f>
        <v>100</v>
      </c>
      <c r="J47" s="36">
        <f>100*'Outil de comparaison'!E8/'Données et calculs'!E47</f>
        <v>10.03125</v>
      </c>
      <c r="K47" s="36">
        <f>100*'Outil de comparaison'!F8/'Données et calculs'!E47</f>
        <v>0</v>
      </c>
      <c r="L47" s="37">
        <f>100*'Outil de comparaison'!G8/'Données et calculs'!E47</f>
        <v>0</v>
      </c>
    </row>
    <row r="48" spans="4:13" x14ac:dyDescent="0.3">
      <c r="D48" s="29" t="s">
        <v>40</v>
      </c>
      <c r="E48" s="1">
        <f>MAX('Outil de comparaison'!C9:G9)</f>
        <v>139.4</v>
      </c>
      <c r="G48" s="33" t="s">
        <v>53</v>
      </c>
      <c r="H48" s="36">
        <f>100*'Outil de comparaison'!C9/'Données et calculs'!E48</f>
        <v>47.632711621233867</v>
      </c>
      <c r="I48" s="36">
        <f>100*'Outil de comparaison'!D9/'Données et calculs'!E48</f>
        <v>100</v>
      </c>
      <c r="J48" s="36">
        <f>100*'Outil de comparaison'!E9/'Données et calculs'!E48</f>
        <v>3.8020086083213771</v>
      </c>
      <c r="K48" s="36">
        <f>100*'Outil de comparaison'!F9/'Données et calculs'!E48</f>
        <v>0</v>
      </c>
      <c r="L48" s="37">
        <f>100*'Outil de comparaison'!G9/'Données et calculs'!E48</f>
        <v>0</v>
      </c>
    </row>
    <row r="49" spans="4:14" ht="15" thickBot="1" x14ac:dyDescent="0.35">
      <c r="D49" s="30" t="s">
        <v>41</v>
      </c>
      <c r="E49" s="5">
        <f>MAX('Outil de comparaison'!C10:G10)</f>
        <v>361.56</v>
      </c>
      <c r="F49" s="34"/>
      <c r="G49" s="35" t="s">
        <v>17</v>
      </c>
      <c r="H49" s="38">
        <f>100*'Outil de comparaison'!C10/'Données et calculs'!E49</f>
        <v>62.437769664785925</v>
      </c>
      <c r="I49" s="38">
        <f>100*'Outil de comparaison'!D10/'Données et calculs'!E49</f>
        <v>33.681823210532137</v>
      </c>
      <c r="J49" s="38">
        <f>100*'Outil de comparaison'!E10/'Données et calculs'!E49</f>
        <v>100</v>
      </c>
      <c r="K49" s="38">
        <f>100*'Outil de comparaison'!F10/'Données et calculs'!E49</f>
        <v>0</v>
      </c>
      <c r="L49" s="39">
        <f>100*'Outil de comparaison'!G10/'Données et calculs'!E49</f>
        <v>0</v>
      </c>
    </row>
    <row r="54" spans="4:14" x14ac:dyDescent="0.3">
      <c r="N54" t="s">
        <v>76</v>
      </c>
    </row>
    <row r="55" spans="4:14" x14ac:dyDescent="0.3">
      <c r="N55" t="s">
        <v>86</v>
      </c>
    </row>
    <row r="56" spans="4:14" x14ac:dyDescent="0.3">
      <c r="N56" t="s">
        <v>87</v>
      </c>
    </row>
    <row r="57" spans="4:14" x14ac:dyDescent="0.3">
      <c r="N57" t="s">
        <v>88</v>
      </c>
    </row>
    <row r="60" spans="4:14" x14ac:dyDescent="0.3">
      <c r="N60" t="s">
        <v>85</v>
      </c>
    </row>
  </sheetData>
  <mergeCells count="21">
    <mergeCell ref="B2:C2"/>
    <mergeCell ref="B14:C14"/>
    <mergeCell ref="E2:H2"/>
    <mergeCell ref="D43:L43"/>
    <mergeCell ref="E29:E32"/>
    <mergeCell ref="E24:E27"/>
    <mergeCell ref="E19:E22"/>
    <mergeCell ref="E14:E17"/>
    <mergeCell ref="E9:E12"/>
    <mergeCell ref="E4:E7"/>
    <mergeCell ref="J28:J32"/>
    <mergeCell ref="J34:J38"/>
    <mergeCell ref="J4:J8"/>
    <mergeCell ref="J10:J14"/>
    <mergeCell ref="J16:J20"/>
    <mergeCell ref="J22:J26"/>
    <mergeCell ref="O2:R2"/>
    <mergeCell ref="O4:O6"/>
    <mergeCell ref="O8:O10"/>
    <mergeCell ref="O12:O14"/>
    <mergeCell ref="J2:M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How to</vt:lpstr>
      <vt:lpstr>Outil de calcul</vt:lpstr>
      <vt:lpstr>Outil de comparaison</vt:lpstr>
      <vt:lpstr>Données et calculs</vt:lpstr>
      <vt:lpstr>'How to'!_Hlk219105351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Emy Celeschi</dc:creator>
  <cp:lastModifiedBy>Helene</cp:lastModifiedBy>
  <cp:lastPrinted>2025-05-13T17:14:29Z</cp:lastPrinted>
  <dcterms:created xsi:type="dcterms:W3CDTF">2025-05-12T17:57:07Z</dcterms:created>
  <dcterms:modified xsi:type="dcterms:W3CDTF">2026-06-26T08:48:50Z</dcterms:modified>
</cp:coreProperties>
</file>