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150" windowHeight="856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26" i="1"/>
  <c r="C27"/>
  <c r="C28"/>
  <c r="C29"/>
  <c r="C30"/>
  <c r="C31"/>
  <c r="C32"/>
  <c r="C25"/>
  <c r="B26"/>
  <c r="B27"/>
  <c r="B28"/>
  <c r="B29"/>
  <c r="B30"/>
  <c r="B31"/>
  <c r="B32"/>
  <c r="B25"/>
  <c r="O20"/>
  <c r="O19"/>
  <c r="J32"/>
  <c r="I32"/>
  <c r="K32" s="1"/>
  <c r="G32"/>
  <c r="H32" s="1"/>
  <c r="F32"/>
  <c r="J31"/>
  <c r="I31"/>
  <c r="K31" s="1"/>
  <c r="G31"/>
  <c r="H31" s="1"/>
  <c r="F31"/>
  <c r="J30"/>
  <c r="I30"/>
  <c r="K30" s="1"/>
  <c r="G30"/>
  <c r="H30" s="1"/>
  <c r="F30"/>
  <c r="J29"/>
  <c r="I29"/>
  <c r="K29" s="1"/>
  <c r="G29"/>
  <c r="H29" s="1"/>
  <c r="F29"/>
  <c r="J28"/>
  <c r="I28"/>
  <c r="K28" s="1"/>
  <c r="G28"/>
  <c r="H28" s="1"/>
  <c r="F28"/>
  <c r="J27"/>
  <c r="I27"/>
  <c r="K27" s="1"/>
  <c r="G27"/>
  <c r="H27" s="1"/>
  <c r="F27"/>
  <c r="J26"/>
  <c r="I26"/>
  <c r="K26" s="1"/>
  <c r="G26"/>
  <c r="H26" s="1"/>
  <c r="F26"/>
  <c r="J25"/>
  <c r="I25"/>
  <c r="K25" s="1"/>
  <c r="G25"/>
  <c r="H25" s="1"/>
  <c r="F25"/>
  <c r="E19"/>
  <c r="E18"/>
  <c r="M26" l="1"/>
  <c r="T26" s="1"/>
  <c r="L26"/>
  <c r="S26" s="1"/>
  <c r="M28"/>
  <c r="T28" s="1"/>
  <c r="L28"/>
  <c r="S28" s="1"/>
  <c r="M30"/>
  <c r="T30" s="1"/>
  <c r="L30"/>
  <c r="S30" s="1"/>
  <c r="M25"/>
  <c r="T25" s="1"/>
  <c r="L25"/>
  <c r="S25" s="1"/>
  <c r="M27"/>
  <c r="T27" s="1"/>
  <c r="L27"/>
  <c r="S27" s="1"/>
  <c r="M29"/>
  <c r="T29" s="1"/>
  <c r="L29"/>
  <c r="S29" s="1"/>
  <c r="M31"/>
  <c r="T31" s="1"/>
  <c r="L31"/>
  <c r="S31" s="1"/>
  <c r="M32"/>
  <c r="T32" s="1"/>
  <c r="L32"/>
  <c r="S32" s="1"/>
  <c r="J4"/>
  <c r="J5"/>
  <c r="J6"/>
  <c r="J7"/>
  <c r="J8"/>
  <c r="J9"/>
  <c r="J10"/>
  <c r="J3"/>
  <c r="E17"/>
  <c r="I4"/>
  <c r="K4" s="1"/>
  <c r="I5"/>
  <c r="K5" s="1"/>
  <c r="I6"/>
  <c r="K6" s="1"/>
  <c r="M6" s="1"/>
  <c r="T6" s="1"/>
  <c r="I7"/>
  <c r="K7" s="1"/>
  <c r="M7" s="1"/>
  <c r="T7" s="1"/>
  <c r="I8"/>
  <c r="K8" s="1"/>
  <c r="M8" s="1"/>
  <c r="T8" s="1"/>
  <c r="I9"/>
  <c r="K9" s="1"/>
  <c r="M9" s="1"/>
  <c r="T9" s="1"/>
  <c r="I10"/>
  <c r="K10" s="1"/>
  <c r="I3"/>
  <c r="K3" s="1"/>
  <c r="M3" s="1"/>
  <c r="T3" s="1"/>
  <c r="G4"/>
  <c r="H4" s="1"/>
  <c r="G5"/>
  <c r="H5" s="1"/>
  <c r="G6"/>
  <c r="H6" s="1"/>
  <c r="G7"/>
  <c r="H7" s="1"/>
  <c r="G8"/>
  <c r="H8" s="1"/>
  <c r="G9"/>
  <c r="H9" s="1"/>
  <c r="G10"/>
  <c r="H10" s="1"/>
  <c r="G3"/>
  <c r="H3" s="1"/>
  <c r="F4"/>
  <c r="F5"/>
  <c r="F6"/>
  <c r="F7"/>
  <c r="F8"/>
  <c r="F9"/>
  <c r="F10"/>
  <c r="F3"/>
  <c r="R39" l="1"/>
  <c r="R40" s="1"/>
  <c r="R41" s="1"/>
  <c r="M35" s="1"/>
  <c r="Q39"/>
  <c r="Q40" s="1"/>
  <c r="Q41" s="1"/>
  <c r="L35" s="1"/>
  <c r="O5"/>
  <c r="Q5" s="1"/>
  <c r="O26"/>
  <c r="Q26" s="1"/>
  <c r="O27"/>
  <c r="Q27" s="1"/>
  <c r="O28"/>
  <c r="Q28" s="1"/>
  <c r="O29"/>
  <c r="Q29" s="1"/>
  <c r="O30"/>
  <c r="Q30" s="1"/>
  <c r="O31"/>
  <c r="Q31" s="1"/>
  <c r="O32"/>
  <c r="Q32" s="1"/>
  <c r="N25"/>
  <c r="P25" s="1"/>
  <c r="N26"/>
  <c r="P26" s="1"/>
  <c r="N27"/>
  <c r="P27" s="1"/>
  <c r="N28"/>
  <c r="P28" s="1"/>
  <c r="N29"/>
  <c r="P29" s="1"/>
  <c r="N30"/>
  <c r="P30" s="1"/>
  <c r="N31"/>
  <c r="P31" s="1"/>
  <c r="N32"/>
  <c r="P32" s="1"/>
  <c r="O25"/>
  <c r="N10"/>
  <c r="P10" s="1"/>
  <c r="N8"/>
  <c r="P8" s="1"/>
  <c r="N6"/>
  <c r="P6" s="1"/>
  <c r="N4"/>
  <c r="P4" s="1"/>
  <c r="O10"/>
  <c r="Q10" s="1"/>
  <c r="O8"/>
  <c r="Q8" s="1"/>
  <c r="O6"/>
  <c r="Q6" s="1"/>
  <c r="O4"/>
  <c r="Q4" s="1"/>
  <c r="N3"/>
  <c r="P3" s="1"/>
  <c r="N9"/>
  <c r="P9" s="1"/>
  <c r="N7"/>
  <c r="P7" s="1"/>
  <c r="N5"/>
  <c r="P5" s="1"/>
  <c r="O3"/>
  <c r="O9"/>
  <c r="Q9" s="1"/>
  <c r="O7"/>
  <c r="Q7" s="1"/>
  <c r="M5"/>
  <c r="T5" s="1"/>
  <c r="M10"/>
  <c r="T10" s="1"/>
  <c r="M4"/>
  <c r="T4" s="1"/>
  <c r="L3"/>
  <c r="S3" s="1"/>
  <c r="L9"/>
  <c r="S9" s="1"/>
  <c r="L7"/>
  <c r="S7" s="1"/>
  <c r="L5"/>
  <c r="S5" s="1"/>
  <c r="L10"/>
  <c r="S10" s="1"/>
  <c r="L8"/>
  <c r="S8" s="1"/>
  <c r="L6"/>
  <c r="S6" s="1"/>
  <c r="L4"/>
  <c r="S4" s="1"/>
  <c r="Q25" l="1"/>
  <c r="Q35" s="1"/>
  <c r="Q36" s="1"/>
  <c r="O35" s="1"/>
  <c r="R17"/>
  <c r="R18" s="1"/>
  <c r="R19" s="1"/>
  <c r="M13" s="1"/>
  <c r="M12"/>
  <c r="Q17"/>
  <c r="Q18" s="1"/>
  <c r="L12" s="1"/>
  <c r="P35"/>
  <c r="Q3"/>
  <c r="Q13" s="1"/>
  <c r="Q14" s="1"/>
  <c r="O13" s="1"/>
  <c r="P13"/>
  <c r="P14" s="1"/>
  <c r="N13" s="1"/>
  <c r="Q19" l="1"/>
  <c r="L13" s="1"/>
  <c r="P36"/>
  <c r="N35" s="1"/>
  <c r="O34" s="1"/>
  <c r="O12" l="1"/>
</calcChain>
</file>

<file path=xl/comments1.xml><?xml version="1.0" encoding="utf-8"?>
<comments xmlns="http://schemas.openxmlformats.org/spreadsheetml/2006/main">
  <authors>
    <author>Bernard</author>
  </authors>
  <commentList>
    <comment ref="I1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  <comment ref="N1" authorId="0">
      <text>
        <r>
          <rPr>
            <b/>
            <sz val="8"/>
            <color indexed="81"/>
            <rFont val="Tahoma"/>
            <family val="2"/>
          </rPr>
          <t>Bernard:</t>
        </r>
        <r>
          <rPr>
            <sz val="8"/>
            <color indexed="81"/>
            <rFont val="Tahoma"/>
            <family val="2"/>
          </rPr>
          <t xml:space="preserve">
F sup &gt;0 --&gt; pression</t>
        </r>
      </text>
    </comment>
    <comment ref="O1" authorId="0">
      <text>
        <r>
          <rPr>
            <b/>
            <sz val="8"/>
            <color indexed="81"/>
            <rFont val="Tahoma"/>
            <family val="2"/>
          </rPr>
          <t>Bernard:</t>
        </r>
        <r>
          <rPr>
            <sz val="8"/>
            <color indexed="81"/>
            <rFont val="Tahoma"/>
            <family val="2"/>
          </rPr>
          <t xml:space="preserve">
F inf &gt;0 --&gt; pression</t>
        </r>
      </text>
    </comment>
    <comment ref="I23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  <comment ref="J23" authorId="0">
      <text>
        <r>
          <rPr>
            <b/>
            <sz val="8"/>
            <color indexed="81"/>
            <rFont val="Tahoma"/>
            <family val="2"/>
          </rPr>
          <t>action de la ferrure sur la traverse gauche</t>
        </r>
      </text>
    </comment>
    <comment ref="N23" authorId="0">
      <text>
        <r>
          <rPr>
            <b/>
            <sz val="8"/>
            <color indexed="81"/>
            <rFont val="Tahoma"/>
            <family val="2"/>
          </rPr>
          <t>Bernard:</t>
        </r>
        <r>
          <rPr>
            <sz val="8"/>
            <color indexed="81"/>
            <rFont val="Tahoma"/>
            <family val="2"/>
          </rPr>
          <t xml:space="preserve">
F sup &gt;0 --&gt; pression</t>
        </r>
      </text>
    </comment>
    <comment ref="O23" authorId="0">
      <text>
        <r>
          <rPr>
            <b/>
            <sz val="8"/>
            <color indexed="81"/>
            <rFont val="Tahoma"/>
            <family val="2"/>
          </rPr>
          <t>Bernard:</t>
        </r>
        <r>
          <rPr>
            <sz val="8"/>
            <color indexed="81"/>
            <rFont val="Tahoma"/>
            <family val="2"/>
          </rPr>
          <t xml:space="preserve">
F inf &gt;0 --&gt; pression</t>
        </r>
      </text>
    </comment>
  </commentList>
</comments>
</file>

<file path=xl/sharedStrings.xml><?xml version="1.0" encoding="utf-8"?>
<sst xmlns="http://schemas.openxmlformats.org/spreadsheetml/2006/main" count="90" uniqueCount="46">
  <si>
    <t>Combi</t>
  </si>
  <si>
    <r>
      <t>k</t>
    </r>
    <r>
      <rPr>
        <vertAlign val="subscript"/>
        <sz val="11"/>
        <color theme="1"/>
        <rFont val="Times New Roman"/>
        <family val="1"/>
      </rPr>
      <t>mod</t>
    </r>
  </si>
  <si>
    <t>N</t>
  </si>
  <si>
    <t>V</t>
  </si>
  <si>
    <t>F</t>
  </si>
  <si>
    <t>inclinaison de l’effort</t>
  </si>
  <si>
    <r>
      <t>F</t>
    </r>
    <r>
      <rPr>
        <vertAlign val="subscript"/>
        <sz val="11"/>
        <color theme="1"/>
        <rFont val="Times New Roman"/>
        <family val="1"/>
      </rPr>
      <t>x</t>
    </r>
  </si>
  <si>
    <r>
      <t>F</t>
    </r>
    <r>
      <rPr>
        <vertAlign val="subscript"/>
        <sz val="11"/>
        <color theme="1"/>
        <rFont val="Times New Roman"/>
        <family val="1"/>
      </rPr>
      <t>y</t>
    </r>
  </si>
  <si>
    <t>n°</t>
  </si>
  <si>
    <t>(kN)</t>
  </si>
  <si>
    <r>
      <t>a/</t>
    </r>
    <r>
      <rPr>
        <sz val="11"/>
        <color theme="1"/>
        <rFont val="Times New Roman"/>
        <family val="1"/>
      </rPr>
      <t>trav G (°)</t>
    </r>
  </si>
  <si>
    <r>
      <t>b/</t>
    </r>
    <r>
      <rPr>
        <sz val="11"/>
        <color theme="1"/>
        <rFont val="Times New Roman"/>
        <family val="1"/>
      </rPr>
      <t>x (°)</t>
    </r>
  </si>
  <si>
    <t>1,35G+1,5S</t>
  </si>
  <si>
    <t>G+1,5Wp+</t>
  </si>
  <si>
    <t>INCLINAISON DE LA TRAVERSE / HORIZONTALE</t>
  </si>
  <si>
    <t>Maximum</t>
  </si>
  <si>
    <t>traction</t>
  </si>
  <si>
    <t>compression</t>
  </si>
  <si>
    <t>INCLINAISON DU FIL DU BOIS / HORIZONTALE</t>
  </si>
  <si>
    <t>INCLINAISON DE LA FACE DU TUBE / HORIZONTALE</t>
  </si>
  <si>
    <t>alpha tube - alpha traverse</t>
  </si>
  <si>
    <t>Action horizontale (rep général)</t>
  </si>
  <si>
    <t>F sur face sup du tube</t>
  </si>
  <si>
    <t>alpha effort / fil du bois</t>
  </si>
  <si>
    <t>F sur face inf du tube</t>
  </si>
  <si>
    <t>effort de compression max sur tube</t>
  </si>
  <si>
    <t>action de la ferrure sur la traverse (rep. Global)</t>
  </si>
  <si>
    <t>face sup du tube</t>
  </si>
  <si>
    <t>CELLULE GRISE   --&gt;  A RENSEIGNER</t>
  </si>
  <si>
    <t>max</t>
  </si>
  <si>
    <t>kmod=</t>
  </si>
  <si>
    <t>F/kmod</t>
  </si>
  <si>
    <t>N°</t>
  </si>
  <si>
    <t>1,35G+1,5S+0,9(WLp-G+D-)</t>
  </si>
  <si>
    <t>G+1,5(WLp-G+D-)</t>
  </si>
  <si>
    <t>1,35G+1,5(WLp-G+D-)+0,75S</t>
  </si>
  <si>
    <t>1,35G+1,5(WLp-G+D+)</t>
  </si>
  <si>
    <t>1,35G+1,5S+0,9(WLp-G+D+)</t>
  </si>
  <si>
    <t>1,35G+1,5(WLp-G+D+)+0,75S</t>
  </si>
  <si>
    <t>cisaillement</t>
  </si>
  <si>
    <t>Cisaillement</t>
  </si>
  <si>
    <t>traverse droite</t>
  </si>
  <si>
    <t>max vers le haut</t>
  </si>
  <si>
    <t>max vers le bas</t>
  </si>
  <si>
    <t>Comp/kmod</t>
  </si>
  <si>
    <t>Tract/kmod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</si>
</sst>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11"/>
      <color theme="1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1" xfId="0" applyBorder="1"/>
    <xf numFmtId="2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 wrapText="1"/>
    </xf>
    <xf numFmtId="2" fontId="0" fillId="0" borderId="0" xfId="0" applyNumberFormat="1"/>
    <xf numFmtId="0" fontId="1" fillId="0" borderId="0" xfId="0" applyFont="1"/>
    <xf numFmtId="2" fontId="1" fillId="0" borderId="0" xfId="0" applyNumberFormat="1" applyFont="1" applyBorder="1"/>
    <xf numFmtId="0" fontId="1" fillId="0" borderId="0" xfId="0" applyFont="1" applyBorder="1"/>
    <xf numFmtId="0" fontId="2" fillId="0" borderId="10" xfId="0" applyFont="1" applyBorder="1" applyAlignment="1">
      <alignment horizontal="center"/>
    </xf>
    <xf numFmtId="2" fontId="0" fillId="0" borderId="1" xfId="0" applyNumberFormat="1" applyBorder="1"/>
    <xf numFmtId="0" fontId="0" fillId="0" borderId="0" xfId="0" applyFill="1" applyBorder="1" applyAlignment="1">
      <alignment horizontal="right"/>
    </xf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2" fontId="0" fillId="0" borderId="7" xfId="0" applyNumberFormat="1" applyFont="1" applyBorder="1"/>
    <xf numFmtId="0" fontId="1" fillId="5" borderId="9" xfId="0" applyFont="1" applyFill="1" applyBorder="1" applyAlignment="1">
      <alignment horizontal="center"/>
    </xf>
    <xf numFmtId="2" fontId="1" fillId="0" borderId="6" xfId="0" applyNumberFormat="1" applyFont="1" applyBorder="1"/>
    <xf numFmtId="0" fontId="1" fillId="4" borderId="3" xfId="0" applyFont="1" applyFill="1" applyBorder="1" applyAlignment="1">
      <alignment horizontal="center"/>
    </xf>
    <xf numFmtId="2" fontId="1" fillId="5" borderId="1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2" fontId="1" fillId="5" borderId="0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2" fontId="1" fillId="5" borderId="5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2" fontId="1" fillId="5" borderId="11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/>
    <xf numFmtId="0" fontId="1" fillId="6" borderId="1" xfId="0" applyFont="1" applyFill="1" applyBorder="1" applyAlignment="1">
      <alignment vertical="center"/>
    </xf>
    <xf numFmtId="0" fontId="5" fillId="7" borderId="4" xfId="0" applyFont="1" applyFill="1" applyBorder="1" applyAlignment="1">
      <alignment horizontal="center"/>
    </xf>
    <xf numFmtId="0" fontId="1" fillId="7" borderId="1" xfId="0" applyFont="1" applyFill="1" applyBorder="1"/>
    <xf numFmtId="2" fontId="0" fillId="4" borderId="1" xfId="0" applyNumberFormat="1" applyFill="1" applyBorder="1"/>
    <xf numFmtId="2" fontId="0" fillId="3" borderId="1" xfId="0" applyNumberFormat="1" applyFill="1" applyBorder="1"/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708294</xdr:colOff>
      <xdr:row>16</xdr:row>
      <xdr:rowOff>16566</xdr:rowOff>
    </xdr:from>
    <xdr:to>
      <xdr:col>8</xdr:col>
      <xdr:colOff>505239</xdr:colOff>
      <xdr:row>22</xdr:row>
      <xdr:rowOff>19437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40000" contrast="-40000"/>
        </a:blip>
        <a:srcRect t="3544" r="8425" b="17469"/>
        <a:stretch>
          <a:fillRect/>
        </a:stretch>
      </xdr:blipFill>
      <xdr:spPr bwMode="auto">
        <a:xfrm>
          <a:off x="5503924" y="3213653"/>
          <a:ext cx="1138728" cy="1187284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4"/>
  <sheetViews>
    <sheetView tabSelected="1" topLeftCell="F9" zoomScale="115" zoomScaleNormal="115" workbookViewId="0">
      <selection activeCell="K20" sqref="K20"/>
    </sheetView>
  </sheetViews>
  <sheetFormatPr baseColWidth="10" defaultRowHeight="15"/>
  <cols>
    <col min="1" max="1" width="6" customWidth="1"/>
    <col min="2" max="2" width="30.140625" customWidth="1"/>
    <col min="3" max="3" width="7.7109375" customWidth="1"/>
    <col min="4" max="4" width="8.28515625" customWidth="1"/>
    <col min="6" max="6" width="8.28515625" customWidth="1"/>
    <col min="7" max="7" width="11.5703125" customWidth="1"/>
    <col min="8" max="8" width="8.5703125" customWidth="1"/>
    <col min="9" max="9" width="7.7109375" customWidth="1"/>
    <col min="10" max="10" width="8" customWidth="1"/>
    <col min="11" max="11" width="12.42578125" customWidth="1"/>
    <col min="12" max="12" width="12.28515625" customWidth="1"/>
    <col min="18" max="18" width="7.28515625" customWidth="1"/>
    <col min="19" max="19" width="12.140625" customWidth="1"/>
    <col min="20" max="26" width="8.28515625" customWidth="1"/>
    <col min="27" max="27" width="12.7109375" customWidth="1"/>
    <col min="32" max="32" width="33.5703125" customWidth="1"/>
  </cols>
  <sheetData>
    <row r="1" spans="1:21" ht="17.25" thickBot="1">
      <c r="A1" s="43" t="s">
        <v>0</v>
      </c>
      <c r="B1" s="44"/>
      <c r="C1" s="31" t="s">
        <v>1</v>
      </c>
      <c r="D1" s="1" t="s">
        <v>2</v>
      </c>
      <c r="E1" s="1" t="s">
        <v>3</v>
      </c>
      <c r="F1" s="1" t="s">
        <v>4</v>
      </c>
      <c r="G1" s="66" t="s">
        <v>5</v>
      </c>
      <c r="H1" s="67"/>
      <c r="I1" s="1" t="s">
        <v>6</v>
      </c>
      <c r="J1" s="2" t="s">
        <v>7</v>
      </c>
      <c r="K1" s="68" t="s">
        <v>21</v>
      </c>
      <c r="L1" s="68"/>
      <c r="M1" s="68"/>
      <c r="N1" s="55" t="s">
        <v>22</v>
      </c>
      <c r="O1" s="55" t="s">
        <v>24</v>
      </c>
      <c r="P1" s="28"/>
    </row>
    <row r="2" spans="1:21" ht="15.75" thickBot="1">
      <c r="A2" s="3" t="s">
        <v>8</v>
      </c>
      <c r="B2" s="8"/>
      <c r="C2" s="4"/>
      <c r="D2" s="5" t="s">
        <v>9</v>
      </c>
      <c r="E2" s="5" t="s">
        <v>9</v>
      </c>
      <c r="F2" s="5" t="s">
        <v>9</v>
      </c>
      <c r="G2" s="6" t="s">
        <v>10</v>
      </c>
      <c r="H2" s="6" t="s">
        <v>11</v>
      </c>
      <c r="I2" s="5" t="s">
        <v>9</v>
      </c>
      <c r="J2" s="5" t="s">
        <v>9</v>
      </c>
      <c r="K2" s="8"/>
      <c r="L2" s="8" t="s">
        <v>17</v>
      </c>
      <c r="M2" s="8" t="s">
        <v>16</v>
      </c>
      <c r="N2" s="56"/>
      <c r="O2" s="56"/>
      <c r="P2" s="45" t="s">
        <v>31</v>
      </c>
      <c r="Q2" s="46"/>
      <c r="R2" t="s">
        <v>32</v>
      </c>
      <c r="S2" t="s">
        <v>44</v>
      </c>
      <c r="T2" t="s">
        <v>45</v>
      </c>
      <c r="U2" t="s">
        <v>32</v>
      </c>
    </row>
    <row r="3" spans="1:21" ht="15.75" thickBot="1">
      <c r="A3" s="3">
        <v>1</v>
      </c>
      <c r="B3" s="19" t="s">
        <v>12</v>
      </c>
      <c r="C3" s="20">
        <v>0.9</v>
      </c>
      <c r="D3" s="21">
        <v>-23.45</v>
      </c>
      <c r="E3" s="21">
        <v>7.35</v>
      </c>
      <c r="F3" s="9">
        <f t="shared" ref="F3:F10" si="0">(D3^2+E3^2)^0.5</f>
        <v>24.57488555415874</v>
      </c>
      <c r="G3" s="10">
        <f t="shared" ref="G3:G10" si="1">ATAN(E3/D3)*180/PI()</f>
        <v>-17.402704131356284</v>
      </c>
      <c r="H3" s="10">
        <f t="shared" ref="H3:H10" si="2">$E$14+G3</f>
        <v>-2.7041313562854441E-3</v>
      </c>
      <c r="I3" s="16">
        <f t="shared" ref="I3:I10" si="3">D3*COS($E$14*PI()/180)-E3*SIN($E$14*PI()/180)</f>
        <v>-24.574885526788929</v>
      </c>
      <c r="J3" s="16">
        <f t="shared" ref="J3:J10" si="4">E3*COS($E$14*PI()/180)+D3*SIN($E$14*PI()/180)</f>
        <v>1.159836189403407E-3</v>
      </c>
      <c r="K3" s="8" t="str">
        <f t="shared" ref="K3:K10" si="5">IF(I3&lt;0,"compression","traction")</f>
        <v>compression</v>
      </c>
      <c r="L3" s="16">
        <f t="shared" ref="L3:L10" si="6">IF(K3="compression",F3,0)</f>
        <v>24.57488555415874</v>
      </c>
      <c r="M3" s="16">
        <f t="shared" ref="M3:M10" si="7">IF(K3="traction",F3,0)</f>
        <v>0</v>
      </c>
      <c r="N3" s="16">
        <f t="shared" ref="N3:N10" si="8">-D3*SIN($E$17*PI()/180)+E3*COS($E$17*PI()/180)</f>
        <v>17.377888330910185</v>
      </c>
      <c r="O3" s="16">
        <f t="shared" ref="O3:O10" si="9">-E3*SIN($E$17*PI()/180)-D3*COS($E$17*PI()/180)</f>
        <v>17.376248074841001</v>
      </c>
      <c r="P3" s="11">
        <f>IF($N3&lt;0,0,$N3/$C3)</f>
        <v>19.308764812122426</v>
      </c>
      <c r="Q3" s="11">
        <f>IF($O3&lt;0,0,$O3/$C3)</f>
        <v>19.30694230537889</v>
      </c>
      <c r="R3" s="36">
        <v>1</v>
      </c>
      <c r="S3" s="11">
        <f>L3/C3</f>
        <v>27.305428393509711</v>
      </c>
      <c r="T3" s="11">
        <f>M3/C3</f>
        <v>0</v>
      </c>
      <c r="U3" s="36">
        <v>1</v>
      </c>
    </row>
    <row r="4" spans="1:21" ht="15.75" thickBot="1">
      <c r="A4" s="3">
        <v>2</v>
      </c>
      <c r="B4" s="21" t="s">
        <v>13</v>
      </c>
      <c r="C4" s="20">
        <v>1.1000000000000001</v>
      </c>
      <c r="D4" s="21">
        <v>49.01</v>
      </c>
      <c r="E4" s="21">
        <v>-15.36</v>
      </c>
      <c r="F4" s="9">
        <f t="shared" si="0"/>
        <v>51.360585082337209</v>
      </c>
      <c r="G4" s="10">
        <f t="shared" si="1"/>
        <v>-17.401274211424631</v>
      </c>
      <c r="H4" s="10">
        <f t="shared" si="2"/>
        <v>-1.2742114246329095E-3</v>
      </c>
      <c r="I4" s="16">
        <f t="shared" si="3"/>
        <v>51.360585069636222</v>
      </c>
      <c r="J4" s="16">
        <f t="shared" si="4"/>
        <v>-1.1422175392059586E-3</v>
      </c>
      <c r="K4" s="8" t="str">
        <f t="shared" si="5"/>
        <v>traction</v>
      </c>
      <c r="L4" s="16">
        <f t="shared" si="6"/>
        <v>0</v>
      </c>
      <c r="M4" s="73">
        <f t="shared" si="7"/>
        <v>51.360585082337209</v>
      </c>
      <c r="N4" s="16">
        <f t="shared" si="8"/>
        <v>-36.31822565821588</v>
      </c>
      <c r="O4" s="16">
        <f t="shared" si="9"/>
        <v>-36.316610318680759</v>
      </c>
      <c r="P4" s="11">
        <f t="shared" ref="P4:P10" si="10">IF($N4&lt;0,0,$N4/$C4)</f>
        <v>0</v>
      </c>
      <c r="Q4" s="11">
        <f t="shared" ref="Q4:Q10" si="11">IF($O4&lt;0,0,$O4/$C4)</f>
        <v>0</v>
      </c>
      <c r="R4" s="37">
        <v>2</v>
      </c>
      <c r="S4" s="11">
        <f t="shared" ref="S4:S10" si="12">L4/C4</f>
        <v>0</v>
      </c>
      <c r="T4" s="11">
        <f t="shared" ref="T4:T10" si="13">M4/C4</f>
        <v>46.691440983942911</v>
      </c>
      <c r="U4" s="37">
        <v>2</v>
      </c>
    </row>
    <row r="5" spans="1:21" ht="15.75" thickBot="1">
      <c r="A5" s="3">
        <v>3</v>
      </c>
      <c r="B5" s="21" t="s">
        <v>34</v>
      </c>
      <c r="C5" s="20">
        <v>1.1000000000000001</v>
      </c>
      <c r="D5" s="21">
        <v>-9.1999999999999993</v>
      </c>
      <c r="E5" s="21">
        <v>35.21</v>
      </c>
      <c r="F5" s="9">
        <f t="shared" si="0"/>
        <v>36.392088425920271</v>
      </c>
      <c r="G5" s="10">
        <f t="shared" si="1"/>
        <v>-75.356605909139205</v>
      </c>
      <c r="H5" s="10">
        <f t="shared" si="2"/>
        <v>-57.956605909139206</v>
      </c>
      <c r="I5" s="16">
        <f t="shared" si="3"/>
        <v>-19.308237317686558</v>
      </c>
      <c r="J5" s="16">
        <f t="shared" si="4"/>
        <v>30.84762667830212</v>
      </c>
      <c r="K5" s="8" t="str">
        <f t="shared" si="5"/>
        <v>compression</v>
      </c>
      <c r="L5" s="16">
        <f t="shared" si="6"/>
        <v>36.392088425920271</v>
      </c>
      <c r="M5" s="16">
        <f t="shared" si="7"/>
        <v>0</v>
      </c>
      <c r="N5" s="16">
        <f t="shared" si="8"/>
        <v>35.465551547833797</v>
      </c>
      <c r="O5" s="16">
        <f t="shared" si="9"/>
        <v>-8.159580467643158</v>
      </c>
      <c r="P5" s="11">
        <f t="shared" si="10"/>
        <v>32.241410498030724</v>
      </c>
      <c r="Q5" s="11">
        <f t="shared" si="11"/>
        <v>0</v>
      </c>
      <c r="R5" s="37">
        <v>3</v>
      </c>
      <c r="S5" s="11">
        <f t="shared" si="12"/>
        <v>33.083716750836608</v>
      </c>
      <c r="T5" s="11">
        <f t="shared" si="13"/>
        <v>0</v>
      </c>
      <c r="U5" s="37">
        <v>3</v>
      </c>
    </row>
    <row r="6" spans="1:21" ht="15.75" thickBot="1">
      <c r="A6" s="3">
        <v>4</v>
      </c>
      <c r="B6" s="21" t="s">
        <v>36</v>
      </c>
      <c r="C6" s="20">
        <v>1.1000000000000001</v>
      </c>
      <c r="D6" s="21">
        <v>-26.96</v>
      </c>
      <c r="E6" s="21">
        <v>24.94</v>
      </c>
      <c r="F6" s="9">
        <f t="shared" si="0"/>
        <v>36.726627942134847</v>
      </c>
      <c r="G6" s="10">
        <f t="shared" si="1"/>
        <v>-42.771115871764977</v>
      </c>
      <c r="H6" s="10">
        <f t="shared" si="2"/>
        <v>-25.371115871764978</v>
      </c>
      <c r="I6" s="16">
        <f t="shared" si="3"/>
        <v>-33.184396615665626</v>
      </c>
      <c r="J6" s="16">
        <f t="shared" si="4"/>
        <v>15.736614033971852</v>
      </c>
      <c r="K6" s="8" t="str">
        <f t="shared" si="5"/>
        <v>compression</v>
      </c>
      <c r="L6" s="16">
        <f t="shared" si="6"/>
        <v>36.726627942134847</v>
      </c>
      <c r="M6" s="16">
        <f t="shared" si="7"/>
        <v>0</v>
      </c>
      <c r="N6" s="16">
        <f t="shared" si="8"/>
        <v>34.592378372857972</v>
      </c>
      <c r="O6" s="16">
        <f t="shared" si="9"/>
        <v>12.337445380184198</v>
      </c>
      <c r="P6" s="11">
        <f t="shared" si="10"/>
        <v>31.447616702598154</v>
      </c>
      <c r="Q6" s="11">
        <f t="shared" si="11"/>
        <v>11.215859436531089</v>
      </c>
      <c r="R6" s="37">
        <v>4</v>
      </c>
      <c r="S6" s="11">
        <f t="shared" si="12"/>
        <v>33.387843583758951</v>
      </c>
      <c r="T6" s="11">
        <f t="shared" si="13"/>
        <v>0</v>
      </c>
      <c r="U6" s="37">
        <v>4</v>
      </c>
    </row>
    <row r="7" spans="1:21" ht="15.75" thickBot="1">
      <c r="A7" s="3">
        <v>5</v>
      </c>
      <c r="B7" s="21" t="s">
        <v>33</v>
      </c>
      <c r="C7" s="20">
        <v>1.1000000000000001</v>
      </c>
      <c r="D7" s="21">
        <v>-25.22</v>
      </c>
      <c r="E7" s="21">
        <v>27.3</v>
      </c>
      <c r="F7" s="9">
        <f t="shared" si="0"/>
        <v>37.166361134768088</v>
      </c>
      <c r="G7" s="10">
        <f t="shared" si="1"/>
        <v>-47.267954535905837</v>
      </c>
      <c r="H7" s="10">
        <f t="shared" si="2"/>
        <v>-29.867954535905838</v>
      </c>
      <c r="I7" s="16">
        <f t="shared" si="3"/>
        <v>-32.229754713771669</v>
      </c>
      <c r="J7" s="16">
        <f t="shared" si="4"/>
        <v>18.508952187795856</v>
      </c>
      <c r="K7" s="8" t="str">
        <f t="shared" si="5"/>
        <v>compression</v>
      </c>
      <c r="L7" s="16">
        <f t="shared" si="6"/>
        <v>37.166361134768088</v>
      </c>
      <c r="M7" s="16">
        <f t="shared" si="7"/>
        <v>0</v>
      </c>
      <c r="N7" s="16">
        <f t="shared" si="8"/>
        <v>35.877683718735071</v>
      </c>
      <c r="O7" s="16">
        <f t="shared" si="9"/>
        <v>9.7020725094390095</v>
      </c>
      <c r="P7" s="11">
        <f t="shared" si="10"/>
        <v>32.61607610794097</v>
      </c>
      <c r="Q7" s="11">
        <f t="shared" si="11"/>
        <v>8.8200659176718261</v>
      </c>
      <c r="R7" s="37">
        <v>5</v>
      </c>
      <c r="S7" s="11">
        <f t="shared" si="12"/>
        <v>33.787601031607352</v>
      </c>
      <c r="T7" s="11">
        <f t="shared" si="13"/>
        <v>0</v>
      </c>
      <c r="U7" s="37">
        <v>5</v>
      </c>
    </row>
    <row r="8" spans="1:21" ht="15.75" thickBot="1">
      <c r="A8" s="3">
        <v>6</v>
      </c>
      <c r="B8" s="21" t="s">
        <v>37</v>
      </c>
      <c r="C8" s="20">
        <v>1.1000000000000001</v>
      </c>
      <c r="D8" s="21">
        <v>-35.880000000000003</v>
      </c>
      <c r="E8" s="21">
        <v>21.14</v>
      </c>
      <c r="F8" s="9">
        <f t="shared" si="0"/>
        <v>41.644615498285013</v>
      </c>
      <c r="G8" s="10">
        <f t="shared" si="1"/>
        <v>-30.506004092774916</v>
      </c>
      <c r="H8" s="10">
        <f t="shared" si="2"/>
        <v>-13.106004092774917</v>
      </c>
      <c r="I8" s="16">
        <f t="shared" si="3"/>
        <v>-40.559865335457687</v>
      </c>
      <c r="J8" s="16">
        <f t="shared" si="4"/>
        <v>9.4430569186857056</v>
      </c>
      <c r="K8" s="8" t="str">
        <f t="shared" si="5"/>
        <v>compression</v>
      </c>
      <c r="L8" s="16">
        <f t="shared" si="6"/>
        <v>41.644615498285013</v>
      </c>
      <c r="M8" s="16">
        <f t="shared" si="7"/>
        <v>0</v>
      </c>
      <c r="N8" s="16">
        <f t="shared" si="8"/>
        <v>35.357405405048517</v>
      </c>
      <c r="O8" s="74">
        <f t="shared" si="9"/>
        <v>22.00290624038211</v>
      </c>
      <c r="P8" s="11">
        <f t="shared" si="10"/>
        <v>32.143095822771379</v>
      </c>
      <c r="Q8" s="11">
        <f t="shared" si="11"/>
        <v>20.002642036711009</v>
      </c>
      <c r="R8" s="37">
        <v>6</v>
      </c>
      <c r="S8" s="11">
        <f t="shared" si="12"/>
        <v>37.858741362077282</v>
      </c>
      <c r="T8" s="11">
        <f t="shared" si="13"/>
        <v>0</v>
      </c>
      <c r="U8" s="37">
        <v>6</v>
      </c>
    </row>
    <row r="9" spans="1:21" ht="15.75" thickBot="1">
      <c r="A9" s="3">
        <v>7</v>
      </c>
      <c r="B9" s="21" t="s">
        <v>35</v>
      </c>
      <c r="C9" s="20">
        <v>1.1000000000000001</v>
      </c>
      <c r="D9" s="21">
        <v>-17.8</v>
      </c>
      <c r="E9" s="71">
        <v>37.9</v>
      </c>
      <c r="F9" s="9">
        <f t="shared" si="0"/>
        <v>41.871828238088675</v>
      </c>
      <c r="G9" s="10">
        <f t="shared" si="1"/>
        <v>-64.84257466524349</v>
      </c>
      <c r="H9" s="10">
        <f t="shared" si="2"/>
        <v>-47.442574665243491</v>
      </c>
      <c r="I9" s="16">
        <f t="shared" si="3"/>
        <v>-28.319123874095414</v>
      </c>
      <c r="J9" s="16">
        <f t="shared" si="4"/>
        <v>30.842782348608552</v>
      </c>
      <c r="K9" s="8" t="str">
        <f t="shared" si="5"/>
        <v>compression</v>
      </c>
      <c r="L9" s="16">
        <f t="shared" si="6"/>
        <v>41.871828238088675</v>
      </c>
      <c r="M9" s="16">
        <f t="shared" si="7"/>
        <v>0</v>
      </c>
      <c r="N9" s="74">
        <f t="shared" si="8"/>
        <v>41.833785077996573</v>
      </c>
      <c r="O9" s="16">
        <f t="shared" si="9"/>
        <v>-1.7844960207271363</v>
      </c>
      <c r="P9" s="11">
        <f t="shared" si="10"/>
        <v>38.030713707269612</v>
      </c>
      <c r="Q9" s="11">
        <f t="shared" si="11"/>
        <v>0</v>
      </c>
      <c r="R9" s="37">
        <v>7</v>
      </c>
      <c r="S9" s="11">
        <f t="shared" si="12"/>
        <v>38.065298398262428</v>
      </c>
      <c r="T9" s="11">
        <f t="shared" si="13"/>
        <v>0</v>
      </c>
      <c r="U9" s="37">
        <v>7</v>
      </c>
    </row>
    <row r="10" spans="1:21" ht="15.75" thickBot="1">
      <c r="A10" s="3">
        <v>8</v>
      </c>
      <c r="B10" s="21" t="s">
        <v>38</v>
      </c>
      <c r="C10" s="20">
        <v>1.1000000000000001</v>
      </c>
      <c r="D10" s="21">
        <v>-35.56</v>
      </c>
      <c r="E10" s="21">
        <v>27.64</v>
      </c>
      <c r="F10" s="9">
        <f t="shared" si="0"/>
        <v>45.038685593609415</v>
      </c>
      <c r="G10" s="10">
        <f t="shared" si="1"/>
        <v>-37.857131718504654</v>
      </c>
      <c r="H10" s="10">
        <f t="shared" si="2"/>
        <v>-20.457131718504655</v>
      </c>
      <c r="I10" s="16">
        <f t="shared" si="3"/>
        <v>-42.198273579997043</v>
      </c>
      <c r="J10" s="16">
        <f t="shared" si="4"/>
        <v>15.741312107563452</v>
      </c>
      <c r="K10" s="8" t="str">
        <f t="shared" si="5"/>
        <v>compression</v>
      </c>
      <c r="L10" s="73">
        <f t="shared" si="6"/>
        <v>45.038685593609415</v>
      </c>
      <c r="M10" s="16">
        <f t="shared" si="7"/>
        <v>0</v>
      </c>
      <c r="N10" s="16">
        <f t="shared" si="8"/>
        <v>40.96947393881306</v>
      </c>
      <c r="O10" s="16">
        <f t="shared" si="9"/>
        <v>18.707896866749017</v>
      </c>
      <c r="P10" s="11">
        <f t="shared" si="10"/>
        <v>37.244976308011871</v>
      </c>
      <c r="Q10" s="11">
        <f t="shared" si="11"/>
        <v>17.007178969771832</v>
      </c>
      <c r="R10" s="37">
        <v>8</v>
      </c>
      <c r="S10" s="11">
        <f t="shared" si="12"/>
        <v>40.944259630554008</v>
      </c>
      <c r="T10" s="11">
        <f t="shared" si="13"/>
        <v>0</v>
      </c>
      <c r="U10" s="37">
        <v>8</v>
      </c>
    </row>
    <row r="11" spans="1:21">
      <c r="A11" s="15">
        <v>9</v>
      </c>
      <c r="B11" s="15"/>
      <c r="C11" s="39"/>
      <c r="D11" s="15"/>
      <c r="E11" s="15"/>
      <c r="F11" s="15"/>
      <c r="G11" s="39"/>
      <c r="H11" s="39"/>
      <c r="I11" s="15"/>
      <c r="J11" s="15"/>
      <c r="L11" s="11"/>
      <c r="M11" s="11"/>
      <c r="N11" s="11"/>
      <c r="O11" s="11"/>
      <c r="U11" s="11"/>
    </row>
    <row r="12" spans="1:21" ht="15.75" thickBot="1">
      <c r="A12" s="40">
        <v>10</v>
      </c>
      <c r="B12" s="40"/>
      <c r="C12" s="41"/>
      <c r="D12" s="40"/>
      <c r="E12" s="40"/>
      <c r="F12" s="40"/>
      <c r="G12" s="41"/>
      <c r="H12" s="41"/>
      <c r="I12" s="40"/>
      <c r="J12" s="40"/>
      <c r="L12" s="11">
        <f>VLOOKUP(Q18,A3:C10,3,0)</f>
        <v>1.1000000000000001</v>
      </c>
      <c r="M12" s="11">
        <f>VLOOKUP(R18,A3:C10,3,0)</f>
        <v>1.1000000000000001</v>
      </c>
      <c r="N12" s="11" t="s">
        <v>30</v>
      </c>
      <c r="O12" s="11">
        <f>VLOOKUP(N13,A3:N10,3)</f>
        <v>1.1000000000000001</v>
      </c>
      <c r="U12" s="11"/>
    </row>
    <row r="13" spans="1:21" ht="15.75" thickBot="1">
      <c r="K13" s="12" t="s">
        <v>15</v>
      </c>
      <c r="L13" s="22">
        <f>Q19</f>
        <v>45.038685593609415</v>
      </c>
      <c r="M13" s="24">
        <f>R19</f>
        <v>51.360585082337209</v>
      </c>
      <c r="N13" s="35">
        <f>VLOOKUP(P14,A3:N10,14)</f>
        <v>41.833785077996573</v>
      </c>
      <c r="O13" s="35">
        <f>VLOOKUP(Q14,A3:O10,15)</f>
        <v>22.00290624038211</v>
      </c>
      <c r="P13" s="26">
        <f>MAX(P3:P12)</f>
        <v>38.030713707269612</v>
      </c>
      <c r="Q13" s="38">
        <f>MAX(Q3:Q10)</f>
        <v>20.002642036711009</v>
      </c>
      <c r="R13" t="s">
        <v>29</v>
      </c>
      <c r="U13" s="13"/>
    </row>
    <row r="14" spans="1:21" ht="16.5" thickTop="1" thickBot="1">
      <c r="D14" s="7" t="s">
        <v>14</v>
      </c>
      <c r="E14" s="18">
        <v>17.399999999999999</v>
      </c>
      <c r="F14" s="57" t="s">
        <v>28</v>
      </c>
      <c r="G14" s="58"/>
      <c r="H14" s="58"/>
      <c r="I14" s="58"/>
      <c r="J14" s="59"/>
      <c r="L14" s="23" t="s">
        <v>17</v>
      </c>
      <c r="M14" s="25" t="s">
        <v>16</v>
      </c>
      <c r="N14" s="47" t="s">
        <v>25</v>
      </c>
      <c r="O14" s="48"/>
      <c r="P14" s="27">
        <f>VLOOKUP(P13,P3:R10,3)</f>
        <v>7</v>
      </c>
      <c r="Q14" s="29">
        <f>VLOOKUP(Q13,Q3:R10,2,0)</f>
        <v>6</v>
      </c>
      <c r="R14" t="s">
        <v>32</v>
      </c>
      <c r="U14" s="14"/>
    </row>
    <row r="15" spans="1:21" ht="15.75" thickBot="1">
      <c r="D15" s="7" t="s">
        <v>18</v>
      </c>
      <c r="E15" s="18">
        <v>19.2</v>
      </c>
      <c r="F15" s="60"/>
      <c r="G15" s="61"/>
      <c r="H15" s="61"/>
      <c r="I15" s="61"/>
      <c r="J15" s="62"/>
      <c r="L15" s="51" t="s">
        <v>26</v>
      </c>
      <c r="M15" s="52"/>
      <c r="N15" s="49"/>
      <c r="O15" s="50"/>
    </row>
    <row r="16" spans="1:21" ht="15.75" customHeight="1" thickBot="1">
      <c r="D16" s="7" t="s">
        <v>19</v>
      </c>
      <c r="E16" s="18">
        <v>45</v>
      </c>
      <c r="F16" s="63"/>
      <c r="G16" s="64"/>
      <c r="H16" s="64"/>
      <c r="I16" s="64"/>
      <c r="J16" s="65"/>
      <c r="L16" s="53"/>
      <c r="M16" s="54"/>
      <c r="N16" s="33"/>
      <c r="O16" s="33"/>
      <c r="P16" s="33"/>
    </row>
    <row r="17" spans="1:21" ht="15.75" customHeight="1">
      <c r="D17" s="7" t="s">
        <v>20</v>
      </c>
      <c r="E17">
        <f>E16-E14</f>
        <v>27.6</v>
      </c>
      <c r="N17" s="33"/>
      <c r="O17" s="33"/>
      <c r="P17" s="33"/>
      <c r="Q17" s="11">
        <f>MAX(S3:S10)</f>
        <v>40.944259630554008</v>
      </c>
      <c r="R17" s="11">
        <f>MAX(T3:T10)</f>
        <v>46.691440983942911</v>
      </c>
    </row>
    <row r="18" spans="1:21" ht="15.75" customHeight="1" thickBot="1">
      <c r="D18" s="17" t="s">
        <v>23</v>
      </c>
      <c r="E18">
        <f>E15+E16</f>
        <v>64.2</v>
      </c>
      <c r="F18" t="s">
        <v>27</v>
      </c>
      <c r="N18" s="33"/>
      <c r="O18" s="33"/>
      <c r="P18" s="33"/>
      <c r="Q18">
        <f>VLOOKUP(Q17,S2:U10,3,0)</f>
        <v>8</v>
      </c>
      <c r="R18">
        <f>VLOOKUP(R17,T2:U10,2,0)</f>
        <v>2</v>
      </c>
    </row>
    <row r="19" spans="1:21" ht="15.75" thickBot="1">
      <c r="C19" s="15"/>
      <c r="D19" s="15"/>
      <c r="E19">
        <f>E16-E15</f>
        <v>25.8</v>
      </c>
      <c r="F19" t="s">
        <v>27</v>
      </c>
      <c r="L19" s="70" t="s">
        <v>39</v>
      </c>
      <c r="M19" s="69" t="s">
        <v>42</v>
      </c>
      <c r="N19" s="69"/>
      <c r="O19" s="72">
        <f>MAX(MAX(E3:E10),-MIN(E25:E32))</f>
        <v>37.9</v>
      </c>
      <c r="Q19" s="11">
        <f>VLOOKUP(Q18,A2:L10,12,0)</f>
        <v>45.038685593609415</v>
      </c>
      <c r="R19">
        <f>VLOOKUP(R18,A2:M10,13,0)</f>
        <v>51.360585082337209</v>
      </c>
    </row>
    <row r="20" spans="1:21" ht="15.75" thickBot="1">
      <c r="L20" s="70"/>
      <c r="M20" s="69" t="s">
        <v>43</v>
      </c>
      <c r="N20" s="69"/>
      <c r="O20" s="72">
        <f>MAX(MIN(E3:E10),MAX(E25:E32))</f>
        <v>23.66</v>
      </c>
    </row>
    <row r="21" spans="1:21">
      <c r="B21" t="s">
        <v>40</v>
      </c>
    </row>
    <row r="22" spans="1:21" ht="15.75" thickBot="1">
      <c r="B22" t="s">
        <v>41</v>
      </c>
    </row>
    <row r="23" spans="1:21" ht="17.25" thickBot="1">
      <c r="A23" s="43" t="s">
        <v>0</v>
      </c>
      <c r="B23" s="44"/>
      <c r="C23" s="32" t="s">
        <v>1</v>
      </c>
      <c r="D23" s="1" t="s">
        <v>2</v>
      </c>
      <c r="E23" s="1" t="s">
        <v>3</v>
      </c>
      <c r="F23" s="1" t="s">
        <v>4</v>
      </c>
      <c r="G23" s="66" t="s">
        <v>5</v>
      </c>
      <c r="H23" s="67"/>
      <c r="I23" s="1" t="s">
        <v>6</v>
      </c>
      <c r="J23" s="2" t="s">
        <v>7</v>
      </c>
      <c r="K23" s="68" t="s">
        <v>21</v>
      </c>
      <c r="L23" s="68"/>
      <c r="M23" s="68"/>
      <c r="N23" s="55" t="s">
        <v>22</v>
      </c>
      <c r="O23" s="55" t="s">
        <v>24</v>
      </c>
      <c r="P23" s="28"/>
    </row>
    <row r="24" spans="1:21" ht="15.75" thickBot="1">
      <c r="A24" s="3" t="s">
        <v>8</v>
      </c>
      <c r="B24" s="8"/>
      <c r="C24" s="4"/>
      <c r="D24" s="5" t="s">
        <v>9</v>
      </c>
      <c r="E24" s="5" t="s">
        <v>9</v>
      </c>
      <c r="F24" s="5" t="s">
        <v>9</v>
      </c>
      <c r="G24" s="6" t="s">
        <v>10</v>
      </c>
      <c r="H24" s="6" t="s">
        <v>11</v>
      </c>
      <c r="I24" s="5" t="s">
        <v>9</v>
      </c>
      <c r="J24" s="5" t="s">
        <v>9</v>
      </c>
      <c r="K24" s="8"/>
      <c r="L24" s="8" t="s">
        <v>17</v>
      </c>
      <c r="M24" s="8" t="s">
        <v>16</v>
      </c>
      <c r="N24" s="56"/>
      <c r="O24" s="56"/>
      <c r="P24" s="45" t="s">
        <v>31</v>
      </c>
      <c r="Q24" s="46"/>
      <c r="R24" t="s">
        <v>32</v>
      </c>
      <c r="S24" t="s">
        <v>44</v>
      </c>
      <c r="T24" t="s">
        <v>45</v>
      </c>
      <c r="U24" t="s">
        <v>32</v>
      </c>
    </row>
    <row r="25" spans="1:21" ht="15.75" thickBot="1">
      <c r="A25" s="3">
        <v>1</v>
      </c>
      <c r="B25" s="75" t="str">
        <f>B3</f>
        <v>1,35G+1,5S</v>
      </c>
      <c r="C25" s="76">
        <f>C3</f>
        <v>0.9</v>
      </c>
      <c r="D25" s="21">
        <v>-23.45</v>
      </c>
      <c r="E25" s="21">
        <v>-7.35</v>
      </c>
      <c r="F25" s="9">
        <f t="shared" ref="F25:F32" si="14">(D25^2+E25^2)^0.5</f>
        <v>24.57488555415874</v>
      </c>
      <c r="G25" s="10">
        <f t="shared" ref="G25:G32" si="15">ATAN(E25/D25)*180/PI()</f>
        <v>17.402704131356284</v>
      </c>
      <c r="H25" s="10">
        <f t="shared" ref="H25:H32" si="16">$E$14+G25</f>
        <v>34.802704131356279</v>
      </c>
      <c r="I25" s="16">
        <f t="shared" ref="I25:I32" si="17">D25*COS($E$14*PI()/180)-E25*SIN($E$14*PI()/180)</f>
        <v>-20.178985880624456</v>
      </c>
      <c r="J25" s="16">
        <f t="shared" ref="J25:J32" si="18">E25*COS($E$14*PI()/180)+D25*SIN($E$14*PI()/180)</f>
        <v>-14.026172992999866</v>
      </c>
      <c r="K25" s="8" t="str">
        <f t="shared" ref="K25:K32" si="19">IF(I25&lt;0,"compression","traction")</f>
        <v>compression</v>
      </c>
      <c r="L25" s="16">
        <f t="shared" ref="L25:L32" si="20">IF(K25="compression",F25,0)</f>
        <v>24.57488555415874</v>
      </c>
      <c r="M25" s="16">
        <f t="shared" ref="M25:M32" si="21">IF(K25="traction",F25,0)</f>
        <v>0</v>
      </c>
      <c r="N25" s="16">
        <f>-D25*SIN($E$17*PI()/180)-E25*COS($E$17*PI()/180)</f>
        <v>17.377888330910185</v>
      </c>
      <c r="O25" s="16">
        <f>E25*SIN($E$17*PI()/180)-D25*COS($E$17*PI()/180)</f>
        <v>17.376248074841001</v>
      </c>
      <c r="P25" s="11">
        <f>IF($N25&lt;0,0,$N25/$C25)</f>
        <v>19.308764812122426</v>
      </c>
      <c r="Q25" s="11">
        <f>IF($O25&lt;0,0,$O25/$C25)</f>
        <v>19.30694230537889</v>
      </c>
      <c r="R25" s="36">
        <v>1</v>
      </c>
      <c r="S25" s="11">
        <f>L25/C25</f>
        <v>27.305428393509711</v>
      </c>
      <c r="T25" s="11">
        <f>M25/C25</f>
        <v>0</v>
      </c>
      <c r="U25" s="36">
        <v>1</v>
      </c>
    </row>
    <row r="26" spans="1:21" ht="15.75" thickBot="1">
      <c r="A26" s="3">
        <v>2</v>
      </c>
      <c r="B26" s="75" t="str">
        <f t="shared" ref="B26:C32" si="22">B4</f>
        <v>G+1,5Wp+</v>
      </c>
      <c r="C26" s="76">
        <f t="shared" si="22"/>
        <v>1.1000000000000001</v>
      </c>
      <c r="D26" s="21">
        <v>49.01</v>
      </c>
      <c r="E26" s="21">
        <v>15.36</v>
      </c>
      <c r="F26" s="9">
        <f t="shared" si="14"/>
        <v>51.360585082337209</v>
      </c>
      <c r="G26" s="10">
        <f t="shared" si="15"/>
        <v>17.401274211424631</v>
      </c>
      <c r="H26" s="10">
        <f t="shared" si="16"/>
        <v>34.801274211424627</v>
      </c>
      <c r="I26" s="16">
        <f t="shared" si="17"/>
        <v>42.174051931529242</v>
      </c>
      <c r="J26" s="16">
        <f t="shared" si="18"/>
        <v>29.313120674480821</v>
      </c>
      <c r="K26" s="8" t="str">
        <f t="shared" si="19"/>
        <v>traction</v>
      </c>
      <c r="L26" s="16">
        <f t="shared" si="20"/>
        <v>0</v>
      </c>
      <c r="M26" s="73">
        <f t="shared" si="21"/>
        <v>51.360585082337209</v>
      </c>
      <c r="N26" s="16">
        <f t="shared" ref="N26:N32" si="23">-D26*SIN($E$17*PI()/180)-E26*COS($E$17*PI()/180)</f>
        <v>-36.31822565821588</v>
      </c>
      <c r="O26" s="16">
        <f t="shared" ref="O26:O32" si="24">E26*SIN($E$17*PI()/180)-D26*COS($E$17*PI()/180)</f>
        <v>-36.316610318680759</v>
      </c>
      <c r="P26" s="11">
        <f t="shared" ref="P26:P32" si="25">IF($N26&lt;0,0,$N26/$C26)</f>
        <v>0</v>
      </c>
      <c r="Q26" s="11">
        <f t="shared" ref="Q26:Q32" si="26">IF($O26&lt;0,0,$O26/$C26)</f>
        <v>0</v>
      </c>
      <c r="R26" s="37">
        <v>2</v>
      </c>
      <c r="S26" s="11">
        <f t="shared" ref="S26:S32" si="27">L26/C26</f>
        <v>0</v>
      </c>
      <c r="T26" s="11">
        <f t="shared" ref="T26:T32" si="28">M26/C26</f>
        <v>46.691440983942911</v>
      </c>
      <c r="U26" s="37">
        <v>2</v>
      </c>
    </row>
    <row r="27" spans="1:21" ht="15.75" thickBot="1">
      <c r="A27" s="3">
        <v>3</v>
      </c>
      <c r="B27" s="75" t="str">
        <f t="shared" si="22"/>
        <v>G+1,5(WLp-G+D-)</v>
      </c>
      <c r="C27" s="76">
        <f t="shared" si="22"/>
        <v>1.1000000000000001</v>
      </c>
      <c r="D27" s="21">
        <v>-27.65</v>
      </c>
      <c r="E27" s="71">
        <v>23.66</v>
      </c>
      <c r="F27" s="9">
        <f t="shared" si="14"/>
        <v>36.391181624124272</v>
      </c>
      <c r="G27" s="10">
        <f t="shared" si="15"/>
        <v>-40.553478441197747</v>
      </c>
      <c r="H27" s="10">
        <f t="shared" si="16"/>
        <v>-23.153478441197748</v>
      </c>
      <c r="I27" s="16">
        <f t="shared" si="17"/>
        <v>-33.460050228254069</v>
      </c>
      <c r="J27" s="16">
        <f t="shared" si="18"/>
        <v>14.308848266814318</v>
      </c>
      <c r="K27" s="8" t="str">
        <f t="shared" si="19"/>
        <v>compression</v>
      </c>
      <c r="L27" s="16">
        <f t="shared" si="20"/>
        <v>36.391181624124272</v>
      </c>
      <c r="M27" s="16">
        <f t="shared" si="21"/>
        <v>0</v>
      </c>
      <c r="N27" s="16">
        <f t="shared" si="23"/>
        <v>-8.1574413135463661</v>
      </c>
      <c r="O27" s="16">
        <f t="shared" si="24"/>
        <v>35.465113156679017</v>
      </c>
      <c r="P27" s="11">
        <f t="shared" si="25"/>
        <v>0</v>
      </c>
      <c r="Q27" s="11">
        <f t="shared" si="26"/>
        <v>32.241011960617286</v>
      </c>
      <c r="R27" s="37">
        <v>3</v>
      </c>
      <c r="S27" s="11">
        <f t="shared" si="27"/>
        <v>33.082892385567519</v>
      </c>
      <c r="T27" s="11">
        <f t="shared" si="28"/>
        <v>0</v>
      </c>
      <c r="U27" s="37">
        <v>3</v>
      </c>
    </row>
    <row r="28" spans="1:21" ht="15.75" thickBot="1">
      <c r="A28" s="3">
        <v>4</v>
      </c>
      <c r="B28" s="75" t="str">
        <f t="shared" si="22"/>
        <v>1,35G+1,5(WLp-G+D+)</v>
      </c>
      <c r="C28" s="76">
        <f t="shared" si="22"/>
        <v>1.1000000000000001</v>
      </c>
      <c r="D28" s="21">
        <v>-36.380000000000003</v>
      </c>
      <c r="E28" s="21">
        <v>5.01</v>
      </c>
      <c r="F28" s="9">
        <f t="shared" si="14"/>
        <v>36.723350881966098</v>
      </c>
      <c r="G28" s="10">
        <f t="shared" si="15"/>
        <v>-7.841055354433939</v>
      </c>
      <c r="H28" s="10">
        <f t="shared" si="16"/>
        <v>9.5589446455660596</v>
      </c>
      <c r="I28" s="16">
        <f t="shared" si="17"/>
        <v>-36.213457520625148</v>
      </c>
      <c r="J28" s="16">
        <f t="shared" si="18"/>
        <v>-6.0983599764098857</v>
      </c>
      <c r="K28" s="8" t="str">
        <f t="shared" si="19"/>
        <v>compression</v>
      </c>
      <c r="L28" s="16">
        <f t="shared" si="20"/>
        <v>36.723350881966098</v>
      </c>
      <c r="M28" s="16">
        <f t="shared" si="21"/>
        <v>0</v>
      </c>
      <c r="N28" s="16">
        <f t="shared" si="23"/>
        <v>12.414829825712186</v>
      </c>
      <c r="O28" s="16">
        <f t="shared" si="24"/>
        <v>34.561199348382097</v>
      </c>
      <c r="P28" s="11">
        <f t="shared" si="25"/>
        <v>11.286208932465623</v>
      </c>
      <c r="Q28" s="11">
        <f t="shared" si="26"/>
        <v>31.419272134892811</v>
      </c>
      <c r="R28" s="37">
        <v>4</v>
      </c>
      <c r="S28" s="11">
        <f t="shared" si="27"/>
        <v>33.384864438150998</v>
      </c>
      <c r="T28" s="11">
        <f t="shared" si="28"/>
        <v>0</v>
      </c>
      <c r="U28" s="37">
        <v>4</v>
      </c>
    </row>
    <row r="29" spans="1:21" ht="15.75" thickBot="1">
      <c r="A29" s="3">
        <v>5</v>
      </c>
      <c r="B29" s="75" t="str">
        <f t="shared" si="22"/>
        <v>1,35G+1,5S+0,9(WLp-G+D-)</v>
      </c>
      <c r="C29" s="76">
        <f t="shared" si="22"/>
        <v>1.1000000000000001</v>
      </c>
      <c r="D29" s="21">
        <v>-36.29</v>
      </c>
      <c r="E29" s="21">
        <v>8.02</v>
      </c>
      <c r="F29" s="9">
        <f t="shared" si="14"/>
        <v>37.165636009625878</v>
      </c>
      <c r="G29" s="10">
        <f t="shared" si="15"/>
        <v>-12.461922253454613</v>
      </c>
      <c r="H29" s="10">
        <f t="shared" si="16"/>
        <v>4.9380777465453853</v>
      </c>
      <c r="I29" s="16">
        <f t="shared" si="17"/>
        <v>-37.027688675749509</v>
      </c>
      <c r="J29" s="16">
        <f t="shared" si="18"/>
        <v>-3.1991829162728429</v>
      </c>
      <c r="K29" s="8" t="str">
        <f t="shared" si="19"/>
        <v>compression</v>
      </c>
      <c r="L29" s="16">
        <f t="shared" si="20"/>
        <v>37.165636009625878</v>
      </c>
      <c r="M29" s="16">
        <f t="shared" si="21"/>
        <v>0</v>
      </c>
      <c r="N29" s="16">
        <f t="shared" si="23"/>
        <v>9.705660409065441</v>
      </c>
      <c r="O29" s="16">
        <f t="shared" si="24"/>
        <v>35.875962091962073</v>
      </c>
      <c r="P29" s="11">
        <f t="shared" si="25"/>
        <v>8.8233276446049462</v>
      </c>
      <c r="Q29" s="11">
        <f t="shared" si="26"/>
        <v>32.614510992692793</v>
      </c>
      <c r="R29" s="37">
        <v>5</v>
      </c>
      <c r="S29" s="11">
        <f t="shared" si="27"/>
        <v>33.786941826932612</v>
      </c>
      <c r="T29" s="11">
        <f t="shared" si="28"/>
        <v>0</v>
      </c>
      <c r="U29" s="37">
        <v>5</v>
      </c>
    </row>
    <row r="30" spans="1:21" ht="15.75" thickBot="1">
      <c r="A30" s="3">
        <v>6</v>
      </c>
      <c r="B30" s="75" t="str">
        <f t="shared" si="22"/>
        <v>1,35G+1,5S+0,9(WLp-G+D+)</v>
      </c>
      <c r="C30" s="76">
        <f t="shared" si="22"/>
        <v>1.1000000000000001</v>
      </c>
      <c r="D30" s="21">
        <v>-41.53</v>
      </c>
      <c r="E30" s="21">
        <v>-3.12</v>
      </c>
      <c r="F30" s="9">
        <f t="shared" si="14"/>
        <v>41.647032307236493</v>
      </c>
      <c r="G30" s="10">
        <f t="shared" si="15"/>
        <v>4.2963557720921539</v>
      </c>
      <c r="H30" s="10">
        <f t="shared" si="16"/>
        <v>21.696355772092154</v>
      </c>
      <c r="I30" s="16">
        <f t="shared" si="17"/>
        <v>-38.696593571441994</v>
      </c>
      <c r="J30" s="16">
        <f t="shared" si="18"/>
        <v>-15.396393927366063</v>
      </c>
      <c r="K30" s="8" t="str">
        <f t="shared" si="19"/>
        <v>compression</v>
      </c>
      <c r="L30" s="16">
        <f t="shared" si="20"/>
        <v>41.647032307236493</v>
      </c>
      <c r="M30" s="16">
        <f t="shared" si="21"/>
        <v>0</v>
      </c>
      <c r="N30" s="74">
        <f t="shared" si="23"/>
        <v>22.005639505729246</v>
      </c>
      <c r="O30" s="16">
        <f t="shared" si="24"/>
        <v>35.358551015898378</v>
      </c>
      <c r="P30" s="11">
        <f t="shared" si="25"/>
        <v>20.005126823390221</v>
      </c>
      <c r="Q30" s="11">
        <f t="shared" si="26"/>
        <v>32.144137287180342</v>
      </c>
      <c r="R30" s="37">
        <v>6</v>
      </c>
      <c r="S30" s="11">
        <f t="shared" si="27"/>
        <v>37.860938461124078</v>
      </c>
      <c r="T30" s="11">
        <f t="shared" si="28"/>
        <v>0</v>
      </c>
      <c r="U30" s="37">
        <v>6</v>
      </c>
    </row>
    <row r="31" spans="1:21" ht="15.75" thickBot="1">
      <c r="A31" s="3">
        <v>7</v>
      </c>
      <c r="B31" s="75" t="str">
        <f t="shared" si="22"/>
        <v>1,35G+1,5(WLp-G+D-)+0,75S</v>
      </c>
      <c r="C31" s="76">
        <f t="shared" si="22"/>
        <v>1.1000000000000001</v>
      </c>
      <c r="D31" s="21">
        <v>-36.25</v>
      </c>
      <c r="E31" s="21">
        <v>20.96</v>
      </c>
      <c r="F31" s="9">
        <f t="shared" si="14"/>
        <v>41.873429522789273</v>
      </c>
      <c r="G31" s="10">
        <f t="shared" si="15"/>
        <v>-30.0367971950837</v>
      </c>
      <c r="H31" s="10">
        <f t="shared" si="16"/>
        <v>-12.636797195083702</v>
      </c>
      <c r="I31" s="16">
        <f t="shared" si="17"/>
        <v>-40.859106914402616</v>
      </c>
      <c r="J31" s="16">
        <f t="shared" si="18"/>
        <v>9.1606485664180237</v>
      </c>
      <c r="K31" s="8" t="str">
        <f t="shared" si="19"/>
        <v>compression</v>
      </c>
      <c r="L31" s="16">
        <f t="shared" si="20"/>
        <v>41.873429522789273</v>
      </c>
      <c r="M31" s="16">
        <f t="shared" si="21"/>
        <v>0</v>
      </c>
      <c r="N31" s="16">
        <f t="shared" si="23"/>
        <v>-1.780345747591273</v>
      </c>
      <c r="O31" s="74">
        <f t="shared" si="24"/>
        <v>41.835564643243842</v>
      </c>
      <c r="P31" s="11">
        <f t="shared" si="25"/>
        <v>0</v>
      </c>
      <c r="Q31" s="11">
        <f t="shared" si="26"/>
        <v>38.032331493858038</v>
      </c>
      <c r="R31" s="37">
        <v>7</v>
      </c>
      <c r="S31" s="11">
        <f t="shared" si="27"/>
        <v>38.066754111626608</v>
      </c>
      <c r="T31" s="11">
        <f t="shared" si="28"/>
        <v>0</v>
      </c>
      <c r="U31" s="37">
        <v>7</v>
      </c>
    </row>
    <row r="32" spans="1:21" ht="15.75" thickBot="1">
      <c r="A32" s="3">
        <v>8</v>
      </c>
      <c r="B32" s="75" t="str">
        <f t="shared" si="22"/>
        <v>1,35G+1,5(WLp-G+D+)+0,75S</v>
      </c>
      <c r="C32" s="76">
        <f t="shared" si="22"/>
        <v>1.1000000000000001</v>
      </c>
      <c r="D32" s="21">
        <v>-44.98</v>
      </c>
      <c r="E32" s="21">
        <v>2.4</v>
      </c>
      <c r="F32" s="9">
        <f t="shared" si="14"/>
        <v>45.043982950001208</v>
      </c>
      <c r="G32" s="10">
        <f t="shared" si="15"/>
        <v>-3.0542373852840456</v>
      </c>
      <c r="H32" s="10">
        <f t="shared" si="16"/>
        <v>14.345762614715953</v>
      </c>
      <c r="I32" s="16">
        <f t="shared" si="17"/>
        <v>-43.639427878076745</v>
      </c>
      <c r="J32" s="16">
        <f t="shared" si="18"/>
        <v>-11.160678047239713</v>
      </c>
      <c r="K32" s="8" t="str">
        <f t="shared" si="19"/>
        <v>compression</v>
      </c>
      <c r="L32" s="73">
        <f t="shared" si="20"/>
        <v>45.043982950001208</v>
      </c>
      <c r="M32" s="16">
        <f t="shared" si="21"/>
        <v>0</v>
      </c>
      <c r="N32" s="16">
        <f t="shared" si="23"/>
        <v>18.712167069536463</v>
      </c>
      <c r="O32" s="16">
        <f t="shared" si="24"/>
        <v>40.973347478107705</v>
      </c>
      <c r="P32" s="11">
        <f t="shared" si="25"/>
        <v>17.011060972305874</v>
      </c>
      <c r="Q32" s="11">
        <f t="shared" si="26"/>
        <v>37.248497707370639</v>
      </c>
      <c r="R32" s="37">
        <v>8</v>
      </c>
      <c r="S32" s="11">
        <f t="shared" si="27"/>
        <v>40.949075409092003</v>
      </c>
      <c r="T32" s="11">
        <f t="shared" si="28"/>
        <v>0</v>
      </c>
      <c r="U32" s="37">
        <v>8</v>
      </c>
    </row>
    <row r="33" spans="3:18">
      <c r="F33" s="15"/>
      <c r="G33" s="39"/>
      <c r="H33" s="39"/>
      <c r="I33" s="15"/>
      <c r="J33" s="15"/>
      <c r="L33" s="11"/>
      <c r="M33" s="11"/>
      <c r="N33" s="11"/>
      <c r="O33" s="11"/>
    </row>
    <row r="34" spans="3:18" ht="15.75" thickBot="1">
      <c r="F34" s="40"/>
      <c r="G34" s="41"/>
      <c r="H34" s="41"/>
      <c r="I34" s="40"/>
      <c r="J34" s="40"/>
      <c r="L34" s="11"/>
      <c r="M34" s="11"/>
      <c r="N34" s="11" t="s">
        <v>30</v>
      </c>
      <c r="O34" s="11">
        <f>VLOOKUP(N35,A25:N32,3)</f>
        <v>1.1000000000000001</v>
      </c>
    </row>
    <row r="35" spans="3:18" ht="15.75" thickBot="1">
      <c r="K35" s="12" t="s">
        <v>15</v>
      </c>
      <c r="L35" s="22">
        <f>Q41</f>
        <v>45.043982950001208</v>
      </c>
      <c r="M35" s="24">
        <f>R41</f>
        <v>51.360585082337209</v>
      </c>
      <c r="N35" s="35">
        <f>VLOOKUP(P36,A25:N32,14)</f>
        <v>22.005639505729246</v>
      </c>
      <c r="O35" s="35">
        <f>VLOOKUP(Q36,A25:O32,15)</f>
        <v>41.835564643243842</v>
      </c>
      <c r="P35" s="26">
        <f>MAX(P25:P34)</f>
        <v>20.005126823390221</v>
      </c>
      <c r="Q35" s="38">
        <f>MAX(Q25:Q32)</f>
        <v>38.032331493858038</v>
      </c>
      <c r="R35" t="s">
        <v>29</v>
      </c>
    </row>
    <row r="36" spans="3:18" ht="16.5" thickTop="1" thickBot="1">
      <c r="F36" s="57" t="s">
        <v>28</v>
      </c>
      <c r="G36" s="58"/>
      <c r="H36" s="58"/>
      <c r="I36" s="58"/>
      <c r="J36" s="59"/>
      <c r="L36" s="23" t="s">
        <v>17</v>
      </c>
      <c r="M36" s="25" t="s">
        <v>16</v>
      </c>
      <c r="N36" s="47" t="s">
        <v>25</v>
      </c>
      <c r="O36" s="48"/>
      <c r="P36" s="27">
        <f>VLOOKUP(P35,P25:R32,3)</f>
        <v>6</v>
      </c>
      <c r="Q36" s="34">
        <f>VLOOKUP(Q35,Q25:R32,2,0)</f>
        <v>7</v>
      </c>
      <c r="R36" t="s">
        <v>32</v>
      </c>
    </row>
    <row r="37" spans="3:18" ht="15.75" thickBot="1">
      <c r="F37" s="60"/>
      <c r="G37" s="61"/>
      <c r="H37" s="61"/>
      <c r="I37" s="61"/>
      <c r="J37" s="62"/>
      <c r="L37" s="51" t="s">
        <v>26</v>
      </c>
      <c r="M37" s="52"/>
      <c r="N37" s="49"/>
      <c r="O37" s="50"/>
      <c r="P37" s="30"/>
      <c r="Q37" s="34"/>
    </row>
    <row r="38" spans="3:18" ht="15.75" customHeight="1" thickBot="1">
      <c r="F38" s="63"/>
      <c r="G38" s="64"/>
      <c r="H38" s="64"/>
      <c r="I38" s="64"/>
      <c r="J38" s="65"/>
      <c r="L38" s="53"/>
      <c r="M38" s="54"/>
      <c r="N38" s="42"/>
      <c r="O38" s="42"/>
      <c r="P38" s="42"/>
    </row>
    <row r="39" spans="3:18" ht="15.75" customHeight="1" thickTop="1">
      <c r="N39" s="42"/>
      <c r="O39" s="42"/>
      <c r="P39" s="42"/>
      <c r="Q39" s="11">
        <f>MAX(S25:S32)</f>
        <v>40.949075409092003</v>
      </c>
      <c r="R39" s="11">
        <f>MAX(T25:T32)</f>
        <v>46.691440983942911</v>
      </c>
    </row>
    <row r="40" spans="3:18" ht="15.75" customHeight="1">
      <c r="N40" s="42"/>
      <c r="O40" s="42"/>
      <c r="P40" s="42"/>
      <c r="Q40">
        <f>VLOOKUP(Q39,S24:U32,3,0)</f>
        <v>8</v>
      </c>
      <c r="R40">
        <f>VLOOKUP(R39,T24:U32,2,0)</f>
        <v>2</v>
      </c>
    </row>
    <row r="41" spans="3:18">
      <c r="Q41" s="11">
        <f>VLOOKUP(Q40,A24:L32,12,0)</f>
        <v>45.043982950001208</v>
      </c>
      <c r="R41">
        <f>VLOOKUP(R40,A24:M32,13,0)</f>
        <v>51.360585082337209</v>
      </c>
    </row>
    <row r="42" spans="3:18">
      <c r="C42" s="17"/>
    </row>
    <row r="46" spans="3:18">
      <c r="H46" s="11"/>
      <c r="I46" s="11"/>
      <c r="J46" s="11"/>
    </row>
    <row r="53" spans="2:2">
      <c r="B53" s="7"/>
    </row>
    <row r="54" spans="2:2">
      <c r="B54" s="7"/>
    </row>
  </sheetData>
  <mergeCells count="21">
    <mergeCell ref="M19:N19"/>
    <mergeCell ref="M20:N20"/>
    <mergeCell ref="L19:L20"/>
    <mergeCell ref="P24:Q24"/>
    <mergeCell ref="F36:J38"/>
    <mergeCell ref="N36:O37"/>
    <mergeCell ref="L37:M38"/>
    <mergeCell ref="A23:B23"/>
    <mergeCell ref="G23:H23"/>
    <mergeCell ref="K23:M23"/>
    <mergeCell ref="N23:N24"/>
    <mergeCell ref="O23:O24"/>
    <mergeCell ref="A1:B1"/>
    <mergeCell ref="P2:Q2"/>
    <mergeCell ref="N14:O15"/>
    <mergeCell ref="L15:M16"/>
    <mergeCell ref="N1:N2"/>
    <mergeCell ref="O1:O2"/>
    <mergeCell ref="F14:J16"/>
    <mergeCell ref="G1:H1"/>
    <mergeCell ref="K1:M1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personnel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Bernard</cp:lastModifiedBy>
  <cp:lastPrinted>2013-07-10T06:54:29Z</cp:lastPrinted>
  <dcterms:created xsi:type="dcterms:W3CDTF">2013-01-10T07:32:04Z</dcterms:created>
  <dcterms:modified xsi:type="dcterms:W3CDTF">2013-07-11T17:06:05Z</dcterms:modified>
</cp:coreProperties>
</file>