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ean Louis Travail Lycée\EDUSCOL Turbomachines et Propulsion\"/>
    </mc:Choice>
  </mc:AlternateContent>
  <xr:revisionPtr revIDLastSave="0" documentId="13_ncr:1_{CBBA2FE8-DF68-4197-B1A3-6AAA9596EDB6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TRI60" sheetId="1" r:id="rId1"/>
    <sheet name="Feuil3" sheetId="3" r:id="rId2"/>
  </sheets>
  <calcPr calcId="181029"/>
</workbook>
</file>

<file path=xl/calcChain.xml><?xml version="1.0" encoding="utf-8"?>
<calcChain xmlns="http://schemas.openxmlformats.org/spreadsheetml/2006/main">
  <c r="B3" i="1" l="1"/>
  <c r="D3" i="1" s="1"/>
  <c r="B13" i="1" s="1"/>
  <c r="B90" i="1" s="1"/>
  <c r="E31" i="1"/>
  <c r="E9" i="1"/>
  <c r="B12" i="1" s="1"/>
  <c r="E78" i="1" s="1"/>
  <c r="E13" i="1"/>
  <c r="E12" i="1"/>
  <c r="E11" i="1"/>
  <c r="E10" i="1"/>
  <c r="E3" i="1"/>
  <c r="B11" i="1" s="1"/>
  <c r="B78" i="1" s="1"/>
  <c r="B50" i="1" l="1"/>
  <c r="B20" i="1"/>
  <c r="F3" i="1"/>
  <c r="B26" i="1" l="1"/>
  <c r="E79" i="1"/>
  <c r="B61" i="1"/>
  <c r="B85" i="1"/>
  <c r="D4" i="1"/>
  <c r="B65" i="1"/>
  <c r="B19" i="1"/>
  <c r="E20" i="1" l="1"/>
  <c r="E80" i="1"/>
  <c r="B25" i="1"/>
  <c r="B79" i="1"/>
  <c r="B21" i="1"/>
  <c r="E26" i="1" l="1"/>
  <c r="E82" i="1" s="1"/>
  <c r="E81" i="1"/>
  <c r="B27" i="1"/>
  <c r="B91" i="1"/>
  <c r="E19" i="1"/>
  <c r="B80" i="1"/>
  <c r="E25" i="1" l="1"/>
  <c r="B81" i="1"/>
  <c r="E21" i="1"/>
  <c r="B92" i="1"/>
  <c r="E27" i="1" l="1"/>
  <c r="B93" i="1"/>
  <c r="B82" i="1"/>
  <c r="H12" i="1"/>
  <c r="B33" i="1"/>
  <c r="B83" i="1" s="1"/>
  <c r="B94" i="1" l="1"/>
  <c r="H11" i="1"/>
  <c r="B35" i="1"/>
  <c r="B43" i="1" s="1"/>
  <c r="B34" i="1" l="1"/>
  <c r="E83" i="1" s="1"/>
  <c r="B95" i="1"/>
  <c r="B96" i="1"/>
  <c r="B41" i="1"/>
  <c r="B52" i="1" s="1"/>
  <c r="B42" i="1" l="1"/>
  <c r="E84" i="1" s="1"/>
  <c r="B66" i="1"/>
  <c r="B67" i="1" s="1"/>
  <c r="E65" i="1" s="1"/>
  <c r="B97" i="1"/>
  <c r="B84" i="1"/>
  <c r="B51" i="1" l="1"/>
  <c r="E85" i="1" s="1"/>
  <c r="B57" i="1" l="1"/>
  <c r="B68" i="1" s="1"/>
  <c r="B59" i="1" l="1"/>
  <c r="B60" i="1"/>
  <c r="E68" i="1"/>
  <c r="E66" i="1"/>
  <c r="B69" i="1" l="1"/>
  <c r="E69" i="1" s="1"/>
  <c r="B70" i="1" l="1"/>
  <c r="E67" i="1"/>
</calcChain>
</file>

<file path=xl/sharedStrings.xml><?xml version="1.0" encoding="utf-8"?>
<sst xmlns="http://schemas.openxmlformats.org/spreadsheetml/2006/main" count="118" uniqueCount="99">
  <si>
    <t>ISA</t>
  </si>
  <si>
    <t>Alti 0 (ft)</t>
  </si>
  <si>
    <t>Température (k)</t>
  </si>
  <si>
    <t>pressionp Pz (Pa)</t>
  </si>
  <si>
    <t>Altitude Z (km)</t>
  </si>
  <si>
    <t>S0</t>
  </si>
  <si>
    <t>A S0</t>
  </si>
  <si>
    <t>T0 =</t>
  </si>
  <si>
    <t>ρ0 =</t>
  </si>
  <si>
    <t>P0 =</t>
  </si>
  <si>
    <t>A S1</t>
  </si>
  <si>
    <t>Section (m^-2)</t>
  </si>
  <si>
    <t>S1</t>
  </si>
  <si>
    <t>S2</t>
  </si>
  <si>
    <t>S3</t>
  </si>
  <si>
    <t>S4</t>
  </si>
  <si>
    <t>P1 (Pa) =</t>
  </si>
  <si>
    <t>V2 m^-3 =</t>
  </si>
  <si>
    <t>T1 (K) =</t>
  </si>
  <si>
    <t>P0 (Pa) =</t>
  </si>
  <si>
    <t>V0 m^-3 =</t>
  </si>
  <si>
    <t>T0 (K) =</t>
  </si>
  <si>
    <t>V1 m^-3 =</t>
  </si>
  <si>
    <t>A S2</t>
  </si>
  <si>
    <t>P2 (Pa) =</t>
  </si>
  <si>
    <t>T2 (K) =</t>
  </si>
  <si>
    <t>A S3</t>
  </si>
  <si>
    <t>P3 (Pa) =</t>
  </si>
  <si>
    <t>V3 m^-3 =</t>
  </si>
  <si>
    <t>T3 (K) =</t>
  </si>
  <si>
    <t>A S4</t>
  </si>
  <si>
    <t>P4 (Pa) =</t>
  </si>
  <si>
    <t>V4 m^-3 =</t>
  </si>
  <si>
    <t>T4 (K) =</t>
  </si>
  <si>
    <t>A S5</t>
  </si>
  <si>
    <t>P5 (Pa) =</t>
  </si>
  <si>
    <t>V5 m^-3 =</t>
  </si>
  <si>
    <t>T5 (K) =</t>
  </si>
  <si>
    <t>Taux de compression =</t>
  </si>
  <si>
    <t xml:space="preserve">Dosage = </t>
  </si>
  <si>
    <t>A S6</t>
  </si>
  <si>
    <t>P6 (Pa) =</t>
  </si>
  <si>
    <t>V6 m^-3 =</t>
  </si>
  <si>
    <t>T6 (K) =</t>
  </si>
  <si>
    <t>A S7</t>
  </si>
  <si>
    <t>P7 (Pa) =</t>
  </si>
  <si>
    <t>V7 m^-3 =</t>
  </si>
  <si>
    <t>T7 (K) =</t>
  </si>
  <si>
    <t>τ détente =</t>
  </si>
  <si>
    <t>Diamètre Tuy (m)</t>
  </si>
  <si>
    <t xml:space="preserve">v0 (m.s-1) = </t>
  </si>
  <si>
    <t>Poussée Brute (N)</t>
  </si>
  <si>
    <t>Poussée Nette (N)</t>
  </si>
  <si>
    <t>Poussée culot (N)</t>
  </si>
  <si>
    <t xml:space="preserve">Qm (Kg.s-1) = </t>
  </si>
  <si>
    <t>Pc (kW) =</t>
  </si>
  <si>
    <t>Psf (kW) =</t>
  </si>
  <si>
    <t>Ptth (kW) =</t>
  </si>
  <si>
    <t>Ptr (kW) =</t>
  </si>
  <si>
    <t>Pp (kW) =</t>
  </si>
  <si>
    <t>Ptourb (KW) =</t>
  </si>
  <si>
    <t>η tth =</t>
  </si>
  <si>
    <t>η i =</t>
  </si>
  <si>
    <t>η p =</t>
  </si>
  <si>
    <t>η tr =</t>
  </si>
  <si>
    <t>η gén =</t>
  </si>
  <si>
    <t>Bilan :</t>
  </si>
  <si>
    <t>Pression</t>
  </si>
  <si>
    <t>Section</t>
  </si>
  <si>
    <t>s0</t>
  </si>
  <si>
    <t>s1</t>
  </si>
  <si>
    <t>s2</t>
  </si>
  <si>
    <t>s3</t>
  </si>
  <si>
    <t>s4</t>
  </si>
  <si>
    <t>s5</t>
  </si>
  <si>
    <t>s6</t>
  </si>
  <si>
    <t>s7</t>
  </si>
  <si>
    <t>Volume</t>
  </si>
  <si>
    <t>Temprérature</t>
  </si>
  <si>
    <t>Pression (hPa)</t>
  </si>
  <si>
    <t>Volume dm-3</t>
  </si>
  <si>
    <t>Masse volumique ρz (kg.m-3 )</t>
  </si>
  <si>
    <t>Curseur ALTITUDE</t>
  </si>
  <si>
    <t>Air</t>
  </si>
  <si>
    <t>Carbu</t>
  </si>
  <si>
    <t>Curseur DOSAGE air</t>
  </si>
  <si>
    <t>Curseur rendement palier</t>
  </si>
  <si>
    <t>(I) Transformation isentropique compression</t>
  </si>
  <si>
    <t>(II) Combustion Isobare P4 = P5</t>
  </si>
  <si>
    <t>(III) Détente isentropique Turbine</t>
  </si>
  <si>
    <t>(IV) Etude de la Tuyère</t>
  </si>
  <si>
    <t>(V) Calcul des poussées</t>
  </si>
  <si>
    <t>(VI) Calcul des puissances et rendements</t>
  </si>
  <si>
    <t>JL Fernandez Blagnac</t>
  </si>
  <si>
    <t xml:space="preserve">Travail COMPRESSION 0-&gt;4 (J) = </t>
  </si>
  <si>
    <t>POUSSEES      EN  NEWTON</t>
  </si>
  <si>
    <t xml:space="preserve">η palier = </t>
  </si>
  <si>
    <r>
      <rPr>
        <sz val="15"/>
        <color theme="1"/>
        <rFont val="Arial"/>
        <family val="2"/>
      </rPr>
      <t>V</t>
    </r>
    <r>
      <rPr>
        <sz val="13"/>
        <color theme="1"/>
        <rFont val="Arial"/>
        <family val="2"/>
      </rPr>
      <t xml:space="preserve"> tuyère  (m.s-1)</t>
    </r>
  </si>
  <si>
    <t>SIMULATEUR THERMODYNAMIQUE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</si>
</sst>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€_-;\-* #,##0.00\ _€_-;_-* &quot;-&quot;??\ _€_-;_-@_-"/>
    <numFmt numFmtId="164" formatCode="0.000"/>
    <numFmt numFmtId="165" formatCode="_-* #,##0.000\ _€_-;\-* #,##0.000\ _€_-;_-* &quot;-&quot;??\ _€_-;_-@_-"/>
    <numFmt numFmtId="166" formatCode="_-* #,##0.0000\ _€_-;\-* #,##0.0000\ _€_-;_-* &quot;-&quot;??\ _€_-;_-@_-"/>
    <numFmt numFmtId="167" formatCode="0.0"/>
    <numFmt numFmtId="168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4" tint="-0.249977111117893"/>
      <name val="Arial"/>
      <family val="2"/>
    </font>
    <font>
      <sz val="18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sz val="14"/>
      <color theme="3" tint="0.79998168889431442"/>
      <name val="Arial"/>
      <family val="2"/>
    </font>
    <font>
      <sz val="12"/>
      <color theme="1"/>
      <name val="Arial"/>
      <family val="2"/>
    </font>
    <font>
      <sz val="36"/>
      <color theme="3" tint="0.39997558519241921"/>
      <name val="Arial"/>
      <family val="2"/>
    </font>
    <font>
      <b/>
      <sz val="14"/>
      <color theme="1"/>
      <name val="Arial"/>
      <family val="2"/>
    </font>
    <font>
      <b/>
      <sz val="10"/>
      <color theme="4" tint="-0.249977111117893"/>
      <name val="Arial"/>
      <family val="2"/>
    </font>
    <font>
      <sz val="13"/>
      <color theme="1"/>
      <name val="Arial"/>
      <family val="2"/>
    </font>
    <font>
      <sz val="15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5862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 applyAlignment="1">
      <alignment horizontal="center"/>
    </xf>
    <xf numFmtId="43" fontId="2" fillId="0" borderId="14" xfId="1" applyFont="1" applyBorder="1" applyAlignment="1">
      <alignment horizontal="center" vertical="center"/>
    </xf>
    <xf numFmtId="43" fontId="2" fillId="0" borderId="15" xfId="1" applyFont="1" applyBorder="1" applyAlignment="1">
      <alignment horizontal="center" vertical="center"/>
    </xf>
    <xf numFmtId="43" fontId="2" fillId="0" borderId="16" xfId="1" applyFont="1" applyBorder="1" applyAlignment="1">
      <alignment horizontal="center" vertical="center"/>
    </xf>
    <xf numFmtId="43" fontId="2" fillId="0" borderId="17" xfId="1" applyFont="1" applyBorder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2" fillId="0" borderId="0" xfId="0" applyFont="1"/>
    <xf numFmtId="43" fontId="2" fillId="0" borderId="4" xfId="1" applyFont="1" applyBorder="1" applyAlignment="1">
      <alignment horizontal="center" vertical="center"/>
    </xf>
    <xf numFmtId="43" fontId="2" fillId="2" borderId="5" xfId="1" applyFont="1" applyFill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43" fontId="2" fillId="0" borderId="6" xfId="1" applyFont="1" applyBorder="1" applyAlignment="1">
      <alignment horizontal="center" vertical="center"/>
    </xf>
    <xf numFmtId="43" fontId="2" fillId="2" borderId="7" xfId="1" applyFont="1" applyFill="1" applyBorder="1" applyAlignment="1">
      <alignment horizontal="center" vertical="center"/>
    </xf>
    <xf numFmtId="43" fontId="2" fillId="0" borderId="3" xfId="1" applyFont="1" applyBorder="1" applyAlignment="1">
      <alignment horizontal="center" vertical="center"/>
    </xf>
    <xf numFmtId="43" fontId="4" fillId="5" borderId="2" xfId="1" applyFont="1" applyFill="1" applyBorder="1" applyAlignment="1">
      <alignment horizontal="center" vertical="center"/>
    </xf>
    <xf numFmtId="166" fontId="2" fillId="0" borderId="0" xfId="1" applyNumberFormat="1" applyFont="1" applyAlignment="1">
      <alignment horizontal="center" vertical="center"/>
    </xf>
    <xf numFmtId="43" fontId="2" fillId="0" borderId="0" xfId="1" applyFont="1"/>
    <xf numFmtId="43" fontId="4" fillId="4" borderId="2" xfId="1" applyFont="1" applyFill="1" applyBorder="1" applyAlignment="1">
      <alignment horizontal="center" vertical="center"/>
    </xf>
    <xf numFmtId="43" fontId="4" fillId="6" borderId="2" xfId="1" applyFont="1" applyFill="1" applyBorder="1" applyAlignment="1">
      <alignment horizontal="center" vertical="center"/>
    </xf>
    <xf numFmtId="43" fontId="4" fillId="7" borderId="2" xfId="1" applyFont="1" applyFill="1" applyBorder="1" applyAlignment="1">
      <alignment horizontal="center" vertical="center"/>
    </xf>
    <xf numFmtId="167" fontId="7" fillId="8" borderId="12" xfId="0" applyNumberFormat="1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6" fillId="0" borderId="6" xfId="0" applyFont="1" applyBorder="1"/>
    <xf numFmtId="0" fontId="2" fillId="0" borderId="2" xfId="0" applyFont="1" applyBorder="1" applyAlignment="1">
      <alignment horizontal="center" vertical="center"/>
    </xf>
    <xf numFmtId="168" fontId="2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8" fontId="2" fillId="0" borderId="5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3" fontId="2" fillId="0" borderId="1" xfId="0" applyNumberFormat="1" applyFont="1" applyBorder="1"/>
    <xf numFmtId="43" fontId="2" fillId="0" borderId="18" xfId="1" applyFont="1" applyBorder="1" applyAlignment="1">
      <alignment horizontal="center" vertical="center" wrapText="1"/>
    </xf>
    <xf numFmtId="43" fontId="2" fillId="9" borderId="23" xfId="1" applyFont="1" applyFill="1" applyBorder="1" applyAlignment="1">
      <alignment horizontal="center" vertical="center"/>
    </xf>
    <xf numFmtId="43" fontId="2" fillId="9" borderId="24" xfId="1" applyFont="1" applyFill="1" applyBorder="1" applyAlignment="1">
      <alignment horizontal="center" vertical="center"/>
    </xf>
    <xf numFmtId="43" fontId="2" fillId="9" borderId="22" xfId="1" applyFont="1" applyFill="1" applyBorder="1" applyAlignment="1">
      <alignment horizontal="center" vertical="center"/>
    </xf>
    <xf numFmtId="43" fontId="2" fillId="10" borderId="22" xfId="1" applyFont="1" applyFill="1" applyBorder="1" applyAlignment="1">
      <alignment horizontal="center" vertical="center"/>
    </xf>
    <xf numFmtId="43" fontId="2" fillId="10" borderId="23" xfId="1" applyFont="1" applyFill="1" applyBorder="1" applyAlignment="1">
      <alignment horizontal="center" vertical="center"/>
    </xf>
    <xf numFmtId="43" fontId="2" fillId="10" borderId="24" xfId="1" applyFont="1" applyFill="1" applyBorder="1" applyAlignment="1">
      <alignment horizontal="center" vertical="center"/>
    </xf>
    <xf numFmtId="43" fontId="2" fillId="12" borderId="11" xfId="1" applyFont="1" applyFill="1" applyBorder="1" applyAlignment="1">
      <alignment horizontal="center" vertical="center"/>
    </xf>
    <xf numFmtId="43" fontId="2" fillId="12" borderId="12" xfId="1" applyFont="1" applyFill="1" applyBorder="1" applyAlignment="1">
      <alignment horizontal="center" vertical="center"/>
    </xf>
    <xf numFmtId="2" fontId="5" fillId="6" borderId="32" xfId="0" applyNumberFormat="1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43" fontId="3" fillId="3" borderId="33" xfId="0" applyNumberFormat="1" applyFont="1" applyFill="1" applyBorder="1"/>
    <xf numFmtId="0" fontId="11" fillId="3" borderId="34" xfId="0" applyFont="1" applyFill="1" applyBorder="1"/>
    <xf numFmtId="43" fontId="12" fillId="0" borderId="31" xfId="1" applyFont="1" applyBorder="1" applyAlignment="1">
      <alignment horizontal="center" vertical="center"/>
    </xf>
    <xf numFmtId="43" fontId="12" fillId="0" borderId="21" xfId="1" applyFont="1" applyBorder="1" applyAlignment="1">
      <alignment horizontal="center" vertical="center"/>
    </xf>
    <xf numFmtId="43" fontId="12" fillId="0" borderId="13" xfId="1" applyFont="1" applyBorder="1" applyAlignment="1">
      <alignment horizontal="center" vertical="center"/>
    </xf>
    <xf numFmtId="165" fontId="12" fillId="0" borderId="19" xfId="1" applyNumberFormat="1" applyFont="1" applyBorder="1" applyAlignment="1">
      <alignment horizontal="center" vertical="center"/>
    </xf>
    <xf numFmtId="43" fontId="12" fillId="0" borderId="2" xfId="1" applyFont="1" applyBorder="1" applyAlignment="1">
      <alignment horizontal="center" vertical="center"/>
    </xf>
    <xf numFmtId="43" fontId="12" fillId="0" borderId="3" xfId="1" applyFont="1" applyBorder="1" applyAlignment="1">
      <alignment horizontal="center" vertical="center"/>
    </xf>
    <xf numFmtId="43" fontId="12" fillId="0" borderId="4" xfId="1" applyFont="1" applyBorder="1" applyAlignment="1">
      <alignment horizontal="center" vertical="center"/>
    </xf>
    <xf numFmtId="166" fontId="12" fillId="0" borderId="5" xfId="1" applyNumberFormat="1" applyFont="1" applyBorder="1" applyAlignment="1">
      <alignment horizontal="center" vertical="center"/>
    </xf>
    <xf numFmtId="43" fontId="12" fillId="0" borderId="6" xfId="1" applyFont="1" applyBorder="1" applyAlignment="1">
      <alignment horizontal="center" vertical="center"/>
    </xf>
    <xf numFmtId="166" fontId="12" fillId="0" borderId="7" xfId="1" applyNumberFormat="1" applyFont="1" applyBorder="1" applyAlignment="1">
      <alignment horizontal="center" vertical="center"/>
    </xf>
    <xf numFmtId="43" fontId="12" fillId="0" borderId="5" xfId="1" applyFont="1" applyBorder="1" applyAlignment="1">
      <alignment horizontal="center" vertical="center"/>
    </xf>
    <xf numFmtId="165" fontId="12" fillId="0" borderId="5" xfId="1" applyNumberFormat="1" applyFont="1" applyBorder="1" applyAlignment="1">
      <alignment horizontal="center" vertical="center"/>
    </xf>
    <xf numFmtId="0" fontId="12" fillId="0" borderId="0" xfId="0" applyFont="1"/>
    <xf numFmtId="43" fontId="12" fillId="0" borderId="7" xfId="1" applyFont="1" applyBorder="1" applyAlignment="1">
      <alignment horizontal="center" vertical="center"/>
    </xf>
    <xf numFmtId="43" fontId="8" fillId="0" borderId="4" xfId="1" applyFont="1" applyBorder="1" applyAlignment="1">
      <alignment horizontal="center" vertical="center"/>
    </xf>
    <xf numFmtId="43" fontId="8" fillId="0" borderId="5" xfId="1" applyFont="1" applyBorder="1" applyAlignment="1">
      <alignment horizontal="center" vertical="center"/>
    </xf>
    <xf numFmtId="43" fontId="8" fillId="0" borderId="0" xfId="1" applyFont="1" applyAlignment="1">
      <alignment horizontal="center" vertical="center"/>
    </xf>
    <xf numFmtId="165" fontId="8" fillId="0" borderId="5" xfId="1" applyNumberFormat="1" applyFont="1" applyBorder="1" applyAlignment="1">
      <alignment horizontal="center" vertical="center"/>
    </xf>
    <xf numFmtId="43" fontId="8" fillId="0" borderId="6" xfId="1" applyFont="1" applyBorder="1" applyAlignment="1">
      <alignment horizontal="center" vertical="center"/>
    </xf>
    <xf numFmtId="43" fontId="8" fillId="0" borderId="7" xfId="1" applyFont="1" applyBorder="1" applyAlignment="1">
      <alignment horizontal="center" vertical="center"/>
    </xf>
    <xf numFmtId="43" fontId="8" fillId="5" borderId="2" xfId="1" applyFont="1" applyFill="1" applyBorder="1" applyAlignment="1">
      <alignment horizontal="center" vertical="center"/>
    </xf>
    <xf numFmtId="43" fontId="8" fillId="0" borderId="3" xfId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164" fontId="6" fillId="2" borderId="12" xfId="0" applyNumberFormat="1" applyFont="1" applyFill="1" applyBorder="1"/>
    <xf numFmtId="0" fontId="6" fillId="0" borderId="25" xfId="0" applyFont="1" applyBorder="1"/>
    <xf numFmtId="0" fontId="6" fillId="0" borderId="26" xfId="0" applyFont="1" applyBorder="1"/>
    <xf numFmtId="0" fontId="6" fillId="0" borderId="27" xfId="0" applyFont="1" applyBorder="1"/>
    <xf numFmtId="0" fontId="6" fillId="0" borderId="28" xfId="0" applyFont="1" applyBorder="1"/>
    <xf numFmtId="0" fontId="10" fillId="0" borderId="2" xfId="0" applyFont="1" applyBorder="1" applyAlignment="1">
      <alignment horizontal="center" vertical="center"/>
    </xf>
    <xf numFmtId="9" fontId="6" fillId="2" borderId="3" xfId="2" applyFont="1" applyFill="1" applyBorder="1"/>
    <xf numFmtId="0" fontId="6" fillId="2" borderId="7" xfId="0" applyFont="1" applyFill="1" applyBorder="1"/>
    <xf numFmtId="0" fontId="10" fillId="4" borderId="8" xfId="0" applyFont="1" applyFill="1" applyBorder="1" applyAlignment="1">
      <alignment horizontal="center" vertical="center"/>
    </xf>
    <xf numFmtId="0" fontId="6" fillId="4" borderId="9" xfId="0" applyFont="1" applyFill="1" applyBorder="1"/>
    <xf numFmtId="0" fontId="12" fillId="0" borderId="11" xfId="0" applyFont="1" applyBorder="1"/>
    <xf numFmtId="0" fontId="8" fillId="0" borderId="2" xfId="0" applyFont="1" applyBorder="1"/>
    <xf numFmtId="0" fontId="8" fillId="0" borderId="4" xfId="0" applyFont="1" applyBorder="1"/>
    <xf numFmtId="0" fontId="8" fillId="0" borderId="6" xfId="0" applyFont="1" applyBorder="1"/>
    <xf numFmtId="43" fontId="6" fillId="0" borderId="3" xfId="0" applyNumberFormat="1" applyFont="1" applyBorder="1" applyAlignment="1">
      <alignment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43" fontId="4" fillId="0" borderId="8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 vertical="center"/>
    </xf>
    <xf numFmtId="43" fontId="4" fillId="0" borderId="9" xfId="1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11" borderId="0" xfId="0" applyFont="1" applyFill="1" applyAlignment="1">
      <alignment horizontal="center" vertical="center"/>
    </xf>
    <xf numFmtId="43" fontId="2" fillId="4" borderId="8" xfId="1" applyFont="1" applyFill="1" applyBorder="1" applyAlignment="1">
      <alignment horizontal="center" vertical="center"/>
    </xf>
    <xf numFmtId="43" fontId="2" fillId="4" borderId="9" xfId="1" applyFont="1" applyFill="1" applyBorder="1" applyAlignment="1">
      <alignment horizontal="center" vertical="center"/>
    </xf>
    <xf numFmtId="43" fontId="2" fillId="4" borderId="25" xfId="1" applyFont="1" applyFill="1" applyBorder="1" applyAlignment="1">
      <alignment horizontal="center" vertical="center"/>
    </xf>
    <xf numFmtId="43" fontId="2" fillId="4" borderId="26" xfId="1" applyFont="1" applyFill="1" applyBorder="1" applyAlignment="1">
      <alignment horizontal="center" vertical="center"/>
    </xf>
    <xf numFmtId="43" fontId="2" fillId="4" borderId="29" xfId="1" applyFont="1" applyFill="1" applyBorder="1" applyAlignment="1">
      <alignment horizontal="center" vertical="center"/>
    </xf>
    <xf numFmtId="43" fontId="2" fillId="4" borderId="30" xfId="1" applyFont="1" applyFill="1" applyBorder="1" applyAlignment="1">
      <alignment horizontal="center" vertical="center"/>
    </xf>
    <xf numFmtId="43" fontId="2" fillId="4" borderId="27" xfId="1" applyFont="1" applyFill="1" applyBorder="1" applyAlignment="1">
      <alignment horizontal="center" vertical="center"/>
    </xf>
    <xf numFmtId="43" fontId="2" fillId="4" borderId="28" xfId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Light16"/>
  <colors>
    <mruColors>
      <color rgb="FFFF5050"/>
      <color rgb="FFF586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/>
              <a:t>Paramètres TRI 60</a:t>
            </a:r>
          </a:p>
          <a:p>
            <a:pPr>
              <a:defRPr/>
            </a:pPr>
            <a:r>
              <a:rPr lang="fr-FR"/>
              <a:t>P,T</a:t>
            </a:r>
          </a:p>
        </c:rich>
      </c:tx>
      <c:layout>
        <c:manualLayout>
          <c:xMode val="edge"/>
          <c:yMode val="edge"/>
          <c:x val="0.74827454928753068"/>
          <c:y val="3.82622737814958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2"/>
          <c:order val="1"/>
          <c:tx>
            <c:strRef>
              <c:f>'TRI60'!$A$87</c:f>
              <c:strCache>
                <c:ptCount val="1"/>
                <c:pt idx="0">
                  <c:v>Temprérature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strRef>
              <c:f>'TRI60'!$A$90:$A$97</c:f>
              <c:strCache>
                <c:ptCount val="8"/>
                <c:pt idx="0">
                  <c:v>s0</c:v>
                </c:pt>
                <c:pt idx="1">
                  <c:v>s1</c:v>
                </c:pt>
                <c:pt idx="2">
                  <c:v>s2</c:v>
                </c:pt>
                <c:pt idx="3">
                  <c:v>s3</c:v>
                </c:pt>
                <c:pt idx="4">
                  <c:v>s4</c:v>
                </c:pt>
                <c:pt idx="5">
                  <c:v>s5</c:v>
                </c:pt>
                <c:pt idx="6">
                  <c:v>s6</c:v>
                </c:pt>
                <c:pt idx="7">
                  <c:v>s7</c:v>
                </c:pt>
              </c:strCache>
            </c:strRef>
          </c:cat>
          <c:val>
            <c:numRef>
              <c:f>'TRI60'!$B$90:$B$97</c:f>
              <c:numCache>
                <c:formatCode>_(* #,##0.00_);_(* \(#,##0.00\);_(* "-"??_);_(@_)</c:formatCode>
                <c:ptCount val="8"/>
                <c:pt idx="0">
                  <c:v>248.62992125984252</c:v>
                </c:pt>
                <c:pt idx="1">
                  <c:v>336.5795896551889</c:v>
                </c:pt>
                <c:pt idx="2">
                  <c:v>380.98356546732646</c:v>
                </c:pt>
                <c:pt idx="3">
                  <c:v>421.94836727434802</c:v>
                </c:pt>
                <c:pt idx="4">
                  <c:v>444.54884339809411</c:v>
                </c:pt>
                <c:pt idx="5">
                  <c:v>1324.5488433980943</c:v>
                </c:pt>
                <c:pt idx="6">
                  <c:v>1104.4152230180364</c:v>
                </c:pt>
                <c:pt idx="7">
                  <c:v>740.8015553961859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86-422D-AABE-A5BC9DA0ED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370688"/>
        <c:axId val="120347264"/>
      </c:lineChart>
      <c:lineChart>
        <c:grouping val="standard"/>
        <c:varyColors val="0"/>
        <c:ser>
          <c:idx val="0"/>
          <c:order val="0"/>
          <c:tx>
            <c:strRef>
              <c:f>'TRI60'!$B$77</c:f>
              <c:strCache>
                <c:ptCount val="1"/>
                <c:pt idx="0">
                  <c:v>Pression (hPa)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strRef>
              <c:f>'TRI60'!$A$90:$A$97</c:f>
              <c:strCache>
                <c:ptCount val="8"/>
                <c:pt idx="0">
                  <c:v>s0</c:v>
                </c:pt>
                <c:pt idx="1">
                  <c:v>s1</c:v>
                </c:pt>
                <c:pt idx="2">
                  <c:v>s2</c:v>
                </c:pt>
                <c:pt idx="3">
                  <c:v>s3</c:v>
                </c:pt>
                <c:pt idx="4">
                  <c:v>s4</c:v>
                </c:pt>
                <c:pt idx="5">
                  <c:v>s5</c:v>
                </c:pt>
                <c:pt idx="6">
                  <c:v>s6</c:v>
                </c:pt>
                <c:pt idx="7">
                  <c:v>s7</c:v>
                </c:pt>
              </c:strCache>
            </c:strRef>
          </c:cat>
          <c:val>
            <c:numRef>
              <c:f>'TRI60'!$B$78:$B$85</c:f>
              <c:numCache>
                <c:formatCode>_(* #,##0.00_);_(* \(#,##0.00\);_(* "-"??_);_(@_)</c:formatCode>
                <c:ptCount val="8"/>
                <c:pt idx="0">
                  <c:v>462.58674214755297</c:v>
                </c:pt>
                <c:pt idx="1">
                  <c:v>1335.2528889199225</c:v>
                </c:pt>
                <c:pt idx="2">
                  <c:v>2060.2890513962666</c:v>
                </c:pt>
                <c:pt idx="3">
                  <c:v>2945.5330201823899</c:v>
                </c:pt>
                <c:pt idx="4">
                  <c:v>3535.6926394884731</c:v>
                </c:pt>
                <c:pt idx="5">
                  <c:v>3535.6926394884731</c:v>
                </c:pt>
                <c:pt idx="6">
                  <c:v>1871.5435055108783</c:v>
                </c:pt>
                <c:pt idx="7">
                  <c:v>462.58674214755297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86-422D-AABE-A5BC9DA0ED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378880"/>
        <c:axId val="120372608"/>
      </c:lineChart>
      <c:valAx>
        <c:axId val="120347264"/>
        <c:scaling>
          <c:orientation val="minMax"/>
          <c:max val="2000"/>
        </c:scaling>
        <c:delete val="0"/>
        <c:axPos val="r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_(* #,##0.00_);_(* \(#,##0.0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0370688"/>
        <c:crosses val="max"/>
        <c:crossBetween val="between"/>
      </c:valAx>
      <c:catAx>
        <c:axId val="120370688"/>
        <c:scaling>
          <c:orientation val="minMax"/>
        </c:scaling>
        <c:delete val="1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one"/>
        <c:crossAx val="120347264"/>
        <c:crosses val="autoZero"/>
        <c:auto val="1"/>
        <c:lblAlgn val="ctr"/>
        <c:lblOffset val="100"/>
        <c:noMultiLvlLbl val="0"/>
      </c:catAx>
      <c:valAx>
        <c:axId val="120372608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_(* #,##0.00_);_(* \(#,##0.0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0378880"/>
        <c:crosses val="autoZero"/>
        <c:crossBetween val="between"/>
      </c:valAx>
      <c:catAx>
        <c:axId val="120378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037260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dTable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rgbClr val="000082"/>
        </a:gs>
        <a:gs pos="30000">
          <a:srgbClr val="66008F"/>
        </a:gs>
        <a:gs pos="64999">
          <a:srgbClr val="BA0066"/>
        </a:gs>
        <a:gs pos="89999">
          <a:srgbClr val="FF0000"/>
        </a:gs>
        <a:gs pos="100000">
          <a:srgbClr val="FF8200"/>
        </a:gs>
      </a:gsLst>
      <a:lin ang="5400000" scaled="0"/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/>
              <a:t>Paramètres TRI 60</a:t>
            </a:r>
          </a:p>
          <a:p>
            <a:pPr>
              <a:defRPr/>
            </a:pPr>
            <a:r>
              <a:rPr lang="fr-FR"/>
              <a:t>V</a:t>
            </a:r>
          </a:p>
        </c:rich>
      </c:tx>
      <c:layout>
        <c:manualLayout>
          <c:xMode val="edge"/>
          <c:yMode val="edge"/>
          <c:x val="0.26390755056101323"/>
          <c:y val="0.219138417092632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2634783507451769"/>
          <c:y val="7.2990539607468083E-2"/>
          <c:w val="0.70307963451907685"/>
          <c:h val="0.72487132020146161"/>
        </c:manualLayout>
      </c:layout>
      <c:lineChart>
        <c:grouping val="stacked"/>
        <c:varyColors val="0"/>
        <c:ser>
          <c:idx val="0"/>
          <c:order val="0"/>
          <c:tx>
            <c:strRef>
              <c:f>'TRI60'!$E$77</c:f>
              <c:strCache>
                <c:ptCount val="1"/>
                <c:pt idx="0">
                  <c:v>Volume dm-3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strRef>
              <c:f>'TRI60'!$D$78:$D$85</c:f>
              <c:strCache>
                <c:ptCount val="8"/>
                <c:pt idx="0">
                  <c:v>s0</c:v>
                </c:pt>
                <c:pt idx="1">
                  <c:v>s1</c:v>
                </c:pt>
                <c:pt idx="2">
                  <c:v>s2</c:v>
                </c:pt>
                <c:pt idx="3">
                  <c:v>s3</c:v>
                </c:pt>
                <c:pt idx="4">
                  <c:v>s4</c:v>
                </c:pt>
                <c:pt idx="5">
                  <c:v>s5</c:v>
                </c:pt>
                <c:pt idx="6">
                  <c:v>s6</c:v>
                </c:pt>
                <c:pt idx="7">
                  <c:v>s7</c:v>
                </c:pt>
              </c:strCache>
            </c:strRef>
          </c:cat>
          <c:val>
            <c:numRef>
              <c:f>'TRI60'!$E$78:$E$85</c:f>
              <c:numCache>
                <c:formatCode>_(* #,##0.00_);_(* \(#,##0.00\);_(* "-"??_);_(@_)</c:formatCode>
                <c:ptCount val="8"/>
                <c:pt idx="0">
                  <c:v>4.7190491568102999</c:v>
                </c:pt>
                <c:pt idx="1">
                  <c:v>2.2131891926009368</c:v>
                </c:pt>
                <c:pt idx="2">
                  <c:v>1.6235750833752041</c:v>
                </c:pt>
                <c:pt idx="3">
                  <c:v>1.2577366188646735</c:v>
                </c:pt>
                <c:pt idx="4">
                  <c:v>1.1039242425449169</c:v>
                </c:pt>
                <c:pt idx="5">
                  <c:v>3.289180931132428</c:v>
                </c:pt>
                <c:pt idx="6">
                  <c:v>5.1811569412958782</c:v>
                </c:pt>
                <c:pt idx="7">
                  <c:v>14.060572185527889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48-4E4E-B846-AE8142D24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863744"/>
        <c:axId val="120898688"/>
      </c:lineChart>
      <c:catAx>
        <c:axId val="120863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0898688"/>
        <c:crossesAt val="0"/>
        <c:auto val="1"/>
        <c:lblAlgn val="ctr"/>
        <c:lblOffset val="100"/>
        <c:noMultiLvlLbl val="0"/>
      </c:catAx>
      <c:valAx>
        <c:axId val="120898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Volume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08637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dTable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279118360714058"/>
          <c:y val="0.55771480344234392"/>
          <c:w val="0.11305863650254379"/>
          <c:h val="5.82443215496163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showDLblsOverMax val="0"/>
  </c:chart>
  <c:spPr>
    <a:gradFill flip="none" rotWithShape="1">
      <a:gsLst>
        <a:gs pos="0">
          <a:srgbClr val="DCEBF5"/>
        </a:gs>
        <a:gs pos="8000">
          <a:srgbClr val="83A7C3"/>
        </a:gs>
        <a:gs pos="13000">
          <a:srgbClr val="768FB9"/>
        </a:gs>
        <a:gs pos="21001">
          <a:srgbClr val="83A7C3"/>
        </a:gs>
        <a:gs pos="52000">
          <a:srgbClr val="FFFFFF"/>
        </a:gs>
        <a:gs pos="56000">
          <a:srgbClr val="9C6563"/>
        </a:gs>
        <a:gs pos="58000">
          <a:srgbClr val="80302D"/>
        </a:gs>
        <a:gs pos="71001">
          <a:srgbClr val="C0524E"/>
        </a:gs>
        <a:gs pos="94000">
          <a:srgbClr val="EBDAD4"/>
        </a:gs>
        <a:gs pos="100000">
          <a:srgbClr val="55261C"/>
        </a:gs>
      </a:gsLst>
      <a:lin ang="5400000" scaled="0"/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val>
            <c:numRef>
              <c:f>'TRI60'!$B$59:$B$61</c:f>
              <c:numCache>
                <c:formatCode>0.00</c:formatCode>
                <c:ptCount val="3"/>
                <c:pt idx="0" formatCode="_(* #,##0.00_);_(* \(#,##0.00\);_(* &quot;-&quot;??_);_(@_)">
                  <c:v>2925.8542852331602</c:v>
                </c:pt>
                <c:pt idx="1">
                  <c:v>69.100460948263546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B2-4054-9E2A-5F0B4AD52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0794112"/>
        <c:axId val="120800000"/>
        <c:axId val="0"/>
      </c:bar3DChart>
      <c:catAx>
        <c:axId val="120794112"/>
        <c:scaling>
          <c:orientation val="minMax"/>
        </c:scaling>
        <c:delete val="0"/>
        <c:axPos val="b"/>
        <c:majorTickMark val="out"/>
        <c:minorTickMark val="none"/>
        <c:tickLblPos val="nextTo"/>
        <c:crossAx val="120800000"/>
        <c:crosses val="autoZero"/>
        <c:auto val="1"/>
        <c:lblAlgn val="ctr"/>
        <c:lblOffset val="100"/>
        <c:noMultiLvlLbl val="0"/>
      </c:catAx>
      <c:valAx>
        <c:axId val="120800000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1207941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6">
        <a:lumMod val="40000"/>
        <a:lumOff val="60000"/>
      </a:schemeClr>
    </a:solidFill>
    <a:ln>
      <a:solidFill>
        <a:sysClr val="windowText" lastClr="000000"/>
      </a:solidFill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trlProps/ctrlProp1.xml><?xml version="1.0" encoding="utf-8"?>
<formControlPr xmlns="http://schemas.microsoft.com/office/spreadsheetml/2009/9/main" objectType="Spin" dx="16" fmlaLink="$C$3" max="12" page="10" val="6"/>
</file>

<file path=xl/ctrlProps/ctrlProp2.xml><?xml version="1.0" encoding="utf-8"?>
<formControlPr xmlns="http://schemas.microsoft.com/office/spreadsheetml/2009/9/main" objectType="Spin" dx="16" fmlaLink="$E$33" max="60" min="40" page="10" val="50"/>
</file>

<file path=xl/ctrlProps/ctrlProp3.xml><?xml version="1.0" encoding="utf-8"?>
<formControlPr xmlns="http://schemas.microsoft.com/office/spreadsheetml/2009/9/main" objectType="Spin" dx="16" fmlaLink="$E$39" max="100" min="60" page="10" val="89"/>
</file>

<file path=xl/ctrlProps/ctrlProp4.xml><?xml version="1.0" encoding="utf-8"?>
<formControlPr xmlns="http://schemas.microsoft.com/office/spreadsheetml/2009/9/main" objectType="Spin" dx="16" fmlaLink="$B$7" max="320" min="20" page="10" val="17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308962</xdr:colOff>
      <xdr:row>36</xdr:row>
      <xdr:rowOff>13207</xdr:rowOff>
    </xdr:from>
    <xdr:to>
      <xdr:col>15</xdr:col>
      <xdr:colOff>299357</xdr:colOff>
      <xdr:row>52</xdr:row>
      <xdr:rowOff>44823</xdr:rowOff>
    </xdr:to>
    <xdr:graphicFrame macro="">
      <xdr:nvGraphicFramePr>
        <xdr:cNvPr id="52" name="Graphiqu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614738</xdr:colOff>
      <xdr:row>17</xdr:row>
      <xdr:rowOff>105853</xdr:rowOff>
    </xdr:from>
    <xdr:to>
      <xdr:col>13</xdr:col>
      <xdr:colOff>705204</xdr:colOff>
      <xdr:row>33</xdr:row>
      <xdr:rowOff>167493</xdr:rowOff>
    </xdr:to>
    <xdr:pic>
      <xdr:nvPicPr>
        <xdr:cNvPr id="3" name="Image 2" descr="http://www.leteckemotory.cz/motory/microturbo/tri60_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7826" y="4061529"/>
          <a:ext cx="8967125" cy="3381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12</xdr:row>
      <xdr:rowOff>190500</xdr:rowOff>
    </xdr:from>
    <xdr:to>
      <xdr:col>6</xdr:col>
      <xdr:colOff>1695450</xdr:colOff>
      <xdr:row>22</xdr:row>
      <xdr:rowOff>104775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2324100" y="2943225"/>
          <a:ext cx="6362700" cy="2085975"/>
        </a:xfrm>
        <a:prstGeom prst="straightConnector1">
          <a:avLst/>
        </a:prstGeom>
        <a:ln>
          <a:solidFill>
            <a:schemeClr val="tx2">
              <a:lumMod val="40000"/>
              <a:lumOff val="60000"/>
            </a:schemeClr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1777254</xdr:colOff>
      <xdr:row>28</xdr:row>
      <xdr:rowOff>286871</xdr:rowOff>
    </xdr:from>
    <xdr:to>
      <xdr:col>6</xdr:col>
      <xdr:colOff>1866900</xdr:colOff>
      <xdr:row>46</xdr:row>
      <xdr:rowOff>66675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H="1" flipV="1">
          <a:off x="8835279" y="6478121"/>
          <a:ext cx="89646" cy="3837454"/>
        </a:xfrm>
        <a:prstGeom prst="straightConnector1">
          <a:avLst/>
        </a:prstGeom>
        <a:ln>
          <a:solidFill>
            <a:schemeClr val="tx2">
              <a:lumMod val="40000"/>
              <a:lumOff val="60000"/>
            </a:schemeClr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925606</xdr:colOff>
      <xdr:row>20</xdr:row>
      <xdr:rowOff>197226</xdr:rowOff>
    </xdr:from>
    <xdr:to>
      <xdr:col>7</xdr:col>
      <xdr:colOff>504825</xdr:colOff>
      <xdr:row>23</xdr:row>
      <xdr:rowOff>114300</xdr:rowOff>
    </xdr:to>
    <xdr:cxnSp macro="">
      <xdr:nvCxnSpPr>
        <xdr:cNvPr id="12" name="Connecteur droit avec flèch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2287681" y="4721601"/>
          <a:ext cx="7323044" cy="612399"/>
        </a:xfrm>
        <a:prstGeom prst="straightConnector1">
          <a:avLst/>
        </a:prstGeom>
        <a:ln>
          <a:solidFill>
            <a:schemeClr val="tx2">
              <a:lumMod val="40000"/>
              <a:lumOff val="60000"/>
            </a:schemeClr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846604</xdr:colOff>
      <xdr:row>24</xdr:row>
      <xdr:rowOff>30816</xdr:rowOff>
    </xdr:from>
    <xdr:to>
      <xdr:col>7</xdr:col>
      <xdr:colOff>900393</xdr:colOff>
      <xdr:row>24</xdr:row>
      <xdr:rowOff>145118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 flipV="1">
          <a:off x="2208679" y="5441016"/>
          <a:ext cx="7797614" cy="114302"/>
        </a:xfrm>
        <a:prstGeom prst="straightConnector1">
          <a:avLst/>
        </a:prstGeom>
        <a:ln>
          <a:solidFill>
            <a:schemeClr val="tx2">
              <a:lumMod val="40000"/>
              <a:lumOff val="60000"/>
            </a:schemeClr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1207994</xdr:colOff>
      <xdr:row>20</xdr:row>
      <xdr:rowOff>188260</xdr:rowOff>
    </xdr:from>
    <xdr:to>
      <xdr:col>7</xdr:col>
      <xdr:colOff>1219200</xdr:colOff>
      <xdr:row>23</xdr:row>
      <xdr:rowOff>85725</xdr:rowOff>
    </xdr:to>
    <xdr:cxnSp macro="">
      <xdr:nvCxnSpPr>
        <xdr:cNvPr id="16" name="Connecteur droit avec flèch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5903819" y="4712635"/>
          <a:ext cx="4487956" cy="592790"/>
        </a:xfrm>
        <a:prstGeom prst="straightConnector1">
          <a:avLst/>
        </a:prstGeom>
        <a:ln>
          <a:solidFill>
            <a:schemeClr val="tx2">
              <a:lumMod val="40000"/>
              <a:lumOff val="60000"/>
            </a:schemeClr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1234108</xdr:colOff>
      <xdr:row>24</xdr:row>
      <xdr:rowOff>66675</xdr:rowOff>
    </xdr:from>
    <xdr:to>
      <xdr:col>8</xdr:col>
      <xdr:colOff>323850</xdr:colOff>
      <xdr:row>26</xdr:row>
      <xdr:rowOff>190501</xdr:rowOff>
    </xdr:to>
    <xdr:cxnSp macro="">
      <xdr:nvCxnSpPr>
        <xdr:cNvPr id="18" name="Connecteur droit avec flèch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 flipV="1">
          <a:off x="5929933" y="5476875"/>
          <a:ext cx="5071442" cy="504826"/>
        </a:xfrm>
        <a:prstGeom prst="straightConnector1">
          <a:avLst/>
        </a:prstGeom>
        <a:ln>
          <a:solidFill>
            <a:schemeClr val="tx2">
              <a:lumMod val="40000"/>
              <a:lumOff val="60000"/>
            </a:schemeClr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530679</xdr:colOff>
      <xdr:row>28</xdr:row>
      <xdr:rowOff>293594</xdr:rowOff>
    </xdr:from>
    <xdr:to>
      <xdr:col>7</xdr:col>
      <xdr:colOff>596154</xdr:colOff>
      <xdr:row>45</xdr:row>
      <xdr:rowOff>81643</xdr:rowOff>
    </xdr:to>
    <xdr:cxnSp macro="">
      <xdr:nvCxnSpPr>
        <xdr:cNvPr id="30" name="Connecteur droit avec flèch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 flipV="1">
          <a:off x="9715500" y="7342094"/>
          <a:ext cx="65475" cy="3380335"/>
        </a:xfrm>
        <a:prstGeom prst="straightConnector1">
          <a:avLst/>
        </a:prstGeom>
        <a:ln>
          <a:solidFill>
            <a:schemeClr val="tx2">
              <a:lumMod val="40000"/>
              <a:lumOff val="60000"/>
            </a:schemeClr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1264025</xdr:colOff>
      <xdr:row>28</xdr:row>
      <xdr:rowOff>255497</xdr:rowOff>
    </xdr:from>
    <xdr:to>
      <xdr:col>8</xdr:col>
      <xdr:colOff>530679</xdr:colOff>
      <xdr:row>41</xdr:row>
      <xdr:rowOff>54429</xdr:rowOff>
    </xdr:to>
    <xdr:cxnSp macro="">
      <xdr:nvCxnSpPr>
        <xdr:cNvPr id="31" name="Connecteur droit avec flèch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 flipH="1" flipV="1">
          <a:off x="10448846" y="7303997"/>
          <a:ext cx="777047" cy="2656432"/>
        </a:xfrm>
        <a:prstGeom prst="straightConnector1">
          <a:avLst/>
        </a:prstGeom>
        <a:ln>
          <a:solidFill>
            <a:schemeClr val="tx2">
              <a:lumMod val="40000"/>
              <a:lumOff val="60000"/>
            </a:schemeClr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239809</xdr:colOff>
      <xdr:row>28</xdr:row>
      <xdr:rowOff>262220</xdr:rowOff>
    </xdr:from>
    <xdr:to>
      <xdr:col>9</xdr:col>
      <xdr:colOff>530679</xdr:colOff>
      <xdr:row>39</xdr:row>
      <xdr:rowOff>122465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 flipH="1" flipV="1">
          <a:off x="10935023" y="7310720"/>
          <a:ext cx="1052870" cy="2363959"/>
        </a:xfrm>
        <a:prstGeom prst="straightConnector1">
          <a:avLst/>
        </a:prstGeom>
        <a:ln>
          <a:solidFill>
            <a:schemeClr val="tx2">
              <a:lumMod val="40000"/>
              <a:lumOff val="60000"/>
            </a:schemeClr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950258</xdr:colOff>
      <xdr:row>23</xdr:row>
      <xdr:rowOff>19050</xdr:rowOff>
    </xdr:from>
    <xdr:to>
      <xdr:col>10</xdr:col>
      <xdr:colOff>161925</xdr:colOff>
      <xdr:row>34</xdr:row>
      <xdr:rowOff>199470</xdr:rowOff>
    </xdr:to>
    <xdr:cxnSp macro="">
      <xdr:nvCxnSpPr>
        <xdr:cNvPr id="33" name="Connecteur droit avec flèch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 flipV="1">
          <a:off x="2312333" y="5238750"/>
          <a:ext cx="9984442" cy="253309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176893</xdr:colOff>
      <xdr:row>28</xdr:row>
      <xdr:rowOff>66676</xdr:rowOff>
    </xdr:from>
    <xdr:to>
      <xdr:col>11</xdr:col>
      <xdr:colOff>219076</xdr:colOff>
      <xdr:row>43</xdr:row>
      <xdr:rowOff>149678</xdr:rowOff>
    </xdr:to>
    <xdr:cxnSp macro="">
      <xdr:nvCxnSpPr>
        <xdr:cNvPr id="35" name="Connecteur droit avec flèch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 flipV="1">
          <a:off x="13484679" y="7115176"/>
          <a:ext cx="42183" cy="3307895"/>
        </a:xfrm>
        <a:prstGeom prst="straightConnector1">
          <a:avLst/>
        </a:prstGeom>
        <a:ln>
          <a:solidFill>
            <a:schemeClr val="accent6">
              <a:lumMod val="75000"/>
            </a:schemeClr>
          </a:solidFill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945776</xdr:colOff>
      <xdr:row>23</xdr:row>
      <xdr:rowOff>152400</xdr:rowOff>
    </xdr:from>
    <xdr:to>
      <xdr:col>11</xdr:col>
      <xdr:colOff>276225</xdr:colOff>
      <xdr:row>42</xdr:row>
      <xdr:rowOff>194986</xdr:rowOff>
    </xdr:to>
    <xdr:cxnSp macro="">
      <xdr:nvCxnSpPr>
        <xdr:cNvPr id="37" name="Connecteur droit avec flèch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 flipV="1">
          <a:off x="2307851" y="5372100"/>
          <a:ext cx="10865224" cy="4176436"/>
        </a:xfrm>
        <a:prstGeom prst="straightConnector1">
          <a:avLst/>
        </a:prstGeom>
        <a:ln>
          <a:tailEnd type="triangle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</xdr:col>
      <xdr:colOff>947137</xdr:colOff>
      <xdr:row>23</xdr:row>
      <xdr:rowOff>103910</xdr:rowOff>
    </xdr:from>
    <xdr:to>
      <xdr:col>12</xdr:col>
      <xdr:colOff>363681</xdr:colOff>
      <xdr:row>51</xdr:row>
      <xdr:rowOff>162330</xdr:rowOff>
    </xdr:to>
    <xdr:cxnSp macro="">
      <xdr:nvCxnSpPr>
        <xdr:cNvPr id="47" name="Connecteur droit avec flèch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CxnSpPr/>
      </xdr:nvCxnSpPr>
      <xdr:spPr>
        <a:xfrm flipV="1">
          <a:off x="2315273" y="5385955"/>
          <a:ext cx="11729772" cy="6275648"/>
        </a:xfrm>
        <a:prstGeom prst="straightConnector1">
          <a:avLst/>
        </a:prstGeom>
        <a:ln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179295</xdr:colOff>
      <xdr:row>25</xdr:row>
      <xdr:rowOff>22413</xdr:rowOff>
    </xdr:from>
    <xdr:to>
      <xdr:col>12</xdr:col>
      <xdr:colOff>180975</xdr:colOff>
      <xdr:row>43</xdr:row>
      <xdr:rowOff>133350</xdr:rowOff>
    </xdr:to>
    <xdr:cxnSp macro="">
      <xdr:nvCxnSpPr>
        <xdr:cNvPr id="49" name="Connecteur droit avec flèch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CxnSpPr/>
      </xdr:nvCxnSpPr>
      <xdr:spPr>
        <a:xfrm flipH="1" flipV="1">
          <a:off x="13904820" y="5623113"/>
          <a:ext cx="1680" cy="4063812"/>
        </a:xfrm>
        <a:prstGeom prst="straightConnector1">
          <a:avLst/>
        </a:prstGeom>
        <a:ln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312965</xdr:colOff>
      <xdr:row>52</xdr:row>
      <xdr:rowOff>27214</xdr:rowOff>
    </xdr:from>
    <xdr:to>
      <xdr:col>15</xdr:col>
      <xdr:colOff>299357</xdr:colOff>
      <xdr:row>68</xdr:row>
      <xdr:rowOff>18010</xdr:rowOff>
    </xdr:to>
    <xdr:graphicFrame macro="">
      <xdr:nvGraphicFramePr>
        <xdr:cNvPr id="59" name="Graphiqu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217714</xdr:colOff>
      <xdr:row>28</xdr:row>
      <xdr:rowOff>152401</xdr:rowOff>
    </xdr:from>
    <xdr:to>
      <xdr:col>10</xdr:col>
      <xdr:colOff>228600</xdr:colOff>
      <xdr:row>39</xdr:row>
      <xdr:rowOff>108857</xdr:rowOff>
    </xdr:to>
    <xdr:cxnSp macro="">
      <xdr:nvCxnSpPr>
        <xdr:cNvPr id="64" name="Connecteur droit avec flèch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CxnSpPr/>
      </xdr:nvCxnSpPr>
      <xdr:spPr>
        <a:xfrm flipV="1">
          <a:off x="12763500" y="7200901"/>
          <a:ext cx="10886" cy="246017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949188</xdr:colOff>
      <xdr:row>29</xdr:row>
      <xdr:rowOff>138733</xdr:rowOff>
    </xdr:from>
    <xdr:to>
      <xdr:col>7</xdr:col>
      <xdr:colOff>1279072</xdr:colOff>
      <xdr:row>43</xdr:row>
      <xdr:rowOff>95250</xdr:rowOff>
    </xdr:to>
    <xdr:cxnSp macro="">
      <xdr:nvCxnSpPr>
        <xdr:cNvPr id="73" name="Connecteur droit avec flèch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CxnSpPr/>
      </xdr:nvCxnSpPr>
      <xdr:spPr>
        <a:xfrm flipH="1" flipV="1">
          <a:off x="10134009" y="7486590"/>
          <a:ext cx="329884" cy="2882053"/>
        </a:xfrm>
        <a:prstGeom prst="straightConnector1">
          <a:avLst/>
        </a:prstGeom>
        <a:ln>
          <a:solidFill>
            <a:schemeClr val="tx2">
              <a:lumMod val="40000"/>
              <a:lumOff val="60000"/>
            </a:schemeClr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918882</xdr:colOff>
      <xdr:row>6</xdr:row>
      <xdr:rowOff>33618</xdr:rowOff>
    </xdr:from>
    <xdr:to>
      <xdr:col>2</xdr:col>
      <xdr:colOff>201706</xdr:colOff>
      <xdr:row>7</xdr:row>
      <xdr:rowOff>11206</xdr:rowOff>
    </xdr:to>
    <xdr:sp macro="" textlink="">
      <xdr:nvSpPr>
        <xdr:cNvPr id="21" name="Flèche droit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2286000" y="2095500"/>
          <a:ext cx="313765" cy="17929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6</xdr:col>
      <xdr:colOff>108857</xdr:colOff>
      <xdr:row>71</xdr:row>
      <xdr:rowOff>81642</xdr:rowOff>
    </xdr:from>
    <xdr:to>
      <xdr:col>9</xdr:col>
      <xdr:colOff>299357</xdr:colOff>
      <xdr:row>86</xdr:row>
      <xdr:rowOff>13606</xdr:rowOff>
    </xdr:to>
    <xdr:graphicFrame macro="">
      <xdr:nvGraphicFramePr>
        <xdr:cNvPr id="23" name="Graphiqu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676275</xdr:colOff>
          <xdr:row>1</xdr:row>
          <xdr:rowOff>533400</xdr:rowOff>
        </xdr:from>
        <xdr:to>
          <xdr:col>6</xdr:col>
          <xdr:colOff>1190625</xdr:colOff>
          <xdr:row>6</xdr:row>
          <xdr:rowOff>133350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533400</xdr:colOff>
          <xdr:row>1</xdr:row>
          <xdr:rowOff>533400</xdr:rowOff>
        </xdr:from>
        <xdr:to>
          <xdr:col>7</xdr:col>
          <xdr:colOff>1047750</xdr:colOff>
          <xdr:row>6</xdr:row>
          <xdr:rowOff>133350</xdr:rowOff>
        </xdr:to>
        <xdr:sp macro="" textlink="">
          <xdr:nvSpPr>
            <xdr:cNvPr id="1026" name="Spinner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704850</xdr:colOff>
          <xdr:row>1</xdr:row>
          <xdr:rowOff>533400</xdr:rowOff>
        </xdr:from>
        <xdr:to>
          <xdr:col>9</xdr:col>
          <xdr:colOff>409575</xdr:colOff>
          <xdr:row>6</xdr:row>
          <xdr:rowOff>133350</xdr:rowOff>
        </xdr:to>
        <xdr:sp macro="" textlink="">
          <xdr:nvSpPr>
            <xdr:cNvPr id="1027" name="Spinner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209550</xdr:colOff>
          <xdr:row>5</xdr:row>
          <xdr:rowOff>104775</xdr:rowOff>
        </xdr:from>
        <xdr:to>
          <xdr:col>2</xdr:col>
          <xdr:colOff>723900</xdr:colOff>
          <xdr:row>9</xdr:row>
          <xdr:rowOff>0</xdr:rowOff>
        </xdr:to>
        <xdr:sp macro="" textlink="">
          <xdr:nvSpPr>
            <xdr:cNvPr id="1028" name="Spinner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7"/>
  <sheetViews>
    <sheetView tabSelected="1" zoomScale="70" zoomScaleNormal="70" workbookViewId="0">
      <selection sqref="A1:O1"/>
    </sheetView>
  </sheetViews>
  <sheetFormatPr baseColWidth="10" defaultRowHeight="14.25" x14ac:dyDescent="0.2"/>
  <cols>
    <col min="1" max="1" width="20.42578125" style="7" customWidth="1"/>
    <col min="2" max="2" width="17.7109375" style="7" bestFit="1" customWidth="1"/>
    <col min="3" max="3" width="15.28515625" style="7" customWidth="1"/>
    <col min="4" max="4" width="19.28515625" style="7" customWidth="1"/>
    <col min="5" max="5" width="18.5703125" style="7" customWidth="1"/>
    <col min="6" max="6" width="16.85546875" style="7" customWidth="1"/>
    <col min="7" max="7" width="31.7109375" style="7" customWidth="1"/>
    <col min="8" max="8" width="22.5703125" style="7" customWidth="1"/>
    <col min="9" max="9" width="11.42578125" style="7"/>
    <col min="10" max="10" width="16.28515625" style="7" customWidth="1"/>
    <col min="11" max="16384" width="11.42578125" style="7"/>
  </cols>
  <sheetData>
    <row r="1" spans="1:15" s="1" customFormat="1" ht="59.25" customHeight="1" thickBot="1" x14ac:dyDescent="0.6">
      <c r="A1" s="91" t="s">
        <v>98</v>
      </c>
      <c r="B1" s="92"/>
      <c r="C1" s="92"/>
      <c r="D1" s="92"/>
      <c r="E1" s="92"/>
      <c r="F1" s="92"/>
      <c r="G1" s="93"/>
      <c r="H1" s="92"/>
      <c r="I1" s="92"/>
      <c r="J1" s="92"/>
      <c r="K1" s="92"/>
      <c r="L1" s="92"/>
      <c r="M1" s="92"/>
      <c r="N1" s="92"/>
      <c r="O1" s="94"/>
    </row>
    <row r="2" spans="1:15" ht="43.5" thickBot="1" x14ac:dyDescent="0.25">
      <c r="A2" s="2" t="s">
        <v>0</v>
      </c>
      <c r="B2" s="3"/>
      <c r="C2" s="4" t="s">
        <v>4</v>
      </c>
      <c r="D2" s="5" t="s">
        <v>2</v>
      </c>
      <c r="E2" s="5" t="s">
        <v>3</v>
      </c>
      <c r="F2" s="38" t="s">
        <v>81</v>
      </c>
      <c r="G2" s="41" t="s">
        <v>82</v>
      </c>
      <c r="H2" s="42" t="s">
        <v>85</v>
      </c>
      <c r="I2" s="102" t="s">
        <v>86</v>
      </c>
      <c r="J2" s="103"/>
      <c r="M2" s="110" t="s">
        <v>93</v>
      </c>
      <c r="N2" s="111"/>
      <c r="O2" s="112"/>
    </row>
    <row r="3" spans="1:15" ht="15" customHeight="1" thickBot="1" x14ac:dyDescent="0.25">
      <c r="A3" s="8" t="s">
        <v>1</v>
      </c>
      <c r="B3" s="9">
        <f>C3*1000/0.3048</f>
        <v>19685.039370078739</v>
      </c>
      <c r="C3" s="51">
        <v>6</v>
      </c>
      <c r="D3" s="52">
        <f>B4-(B3/1000)*2</f>
        <v>248.62992125984252</v>
      </c>
      <c r="E3" s="53">
        <f>B5*((31-C3)/(31+C3))^2</f>
        <v>46258.674214755294</v>
      </c>
      <c r="F3" s="54">
        <f>B6*((20-C3)/(20+C3))</f>
        <v>0.6596153846153846</v>
      </c>
      <c r="G3" s="39"/>
      <c r="H3" s="43"/>
      <c r="I3" s="104"/>
      <c r="J3" s="105"/>
    </row>
    <row r="4" spans="1:15" ht="15" customHeight="1" thickBot="1" x14ac:dyDescent="0.25">
      <c r="A4" s="8" t="s">
        <v>7</v>
      </c>
      <c r="B4" s="10">
        <v>288</v>
      </c>
      <c r="C4" s="45" t="s">
        <v>54</v>
      </c>
      <c r="D4" s="46">
        <f>F3*E9*B7</f>
        <v>3.1127574245883323</v>
      </c>
      <c r="E4" s="6"/>
      <c r="F4" s="6"/>
      <c r="G4" s="39"/>
      <c r="H4" s="43"/>
      <c r="I4" s="106"/>
      <c r="J4" s="107"/>
    </row>
    <row r="5" spans="1:15" ht="15" customHeight="1" x14ac:dyDescent="0.2">
      <c r="A5" s="8" t="s">
        <v>9</v>
      </c>
      <c r="B5" s="10">
        <v>101325</v>
      </c>
      <c r="C5" s="6"/>
      <c r="D5" s="6"/>
      <c r="E5" s="6"/>
      <c r="F5" s="6"/>
      <c r="G5" s="39"/>
      <c r="H5" s="43"/>
      <c r="I5" s="106"/>
      <c r="J5" s="107"/>
    </row>
    <row r="6" spans="1:15" ht="15" customHeight="1" x14ac:dyDescent="0.2">
      <c r="A6" s="8" t="s">
        <v>8</v>
      </c>
      <c r="B6" s="11">
        <v>1.2250000000000001</v>
      </c>
      <c r="C6" s="6"/>
      <c r="F6" s="6"/>
      <c r="G6" s="39"/>
      <c r="H6" s="43"/>
      <c r="I6" s="106"/>
      <c r="J6" s="107"/>
    </row>
    <row r="7" spans="1:15" ht="15.75" customHeight="1" thickBot="1" x14ac:dyDescent="0.25">
      <c r="A7" s="12" t="s">
        <v>50</v>
      </c>
      <c r="B7" s="13">
        <v>170</v>
      </c>
      <c r="C7" s="6"/>
      <c r="F7" s="6"/>
      <c r="G7" s="40"/>
      <c r="H7" s="44"/>
      <c r="I7" s="108"/>
      <c r="J7" s="109"/>
    </row>
    <row r="8" spans="1:15" ht="26.25" customHeight="1" thickBot="1" x14ac:dyDescent="0.25">
      <c r="C8" s="6"/>
      <c r="D8" s="55" t="s">
        <v>11</v>
      </c>
      <c r="E8" s="56"/>
    </row>
    <row r="9" spans="1:15" ht="23.25" x14ac:dyDescent="0.2">
      <c r="A9" s="15" t="s">
        <v>6</v>
      </c>
      <c r="B9" s="14"/>
      <c r="C9" s="6"/>
      <c r="D9" s="57" t="s">
        <v>5</v>
      </c>
      <c r="E9" s="58">
        <f>PI()*(0.094^2)</f>
        <v>2.7759112687119412E-2</v>
      </c>
      <c r="K9" s="101"/>
      <c r="L9" s="101"/>
    </row>
    <row r="10" spans="1:15" ht="17.25" thickBot="1" x14ac:dyDescent="0.25">
      <c r="A10" s="8"/>
      <c r="B10" s="10"/>
      <c r="C10" s="6"/>
      <c r="D10" s="57" t="s">
        <v>12</v>
      </c>
      <c r="E10" s="58">
        <f>(PI()*0.088^2)-(PI()*0.06^2)</f>
        <v>1.3018759956476101E-2</v>
      </c>
    </row>
    <row r="11" spans="1:15" ht="21" thickBot="1" x14ac:dyDescent="0.35">
      <c r="A11" s="57" t="s">
        <v>19</v>
      </c>
      <c r="B11" s="61">
        <f>E3</f>
        <v>46258.674214755294</v>
      </c>
      <c r="C11" s="6"/>
      <c r="D11" s="57" t="s">
        <v>13</v>
      </c>
      <c r="E11" s="58">
        <f>(PI()*0.086^2)-(PI()*0.066^2)</f>
        <v>9.5504416669129674E-3</v>
      </c>
      <c r="G11" s="50" t="s">
        <v>94</v>
      </c>
      <c r="H11" s="49">
        <f>F3*E9*80*1000*(E27-B13)</f>
        <v>286987.33153091109</v>
      </c>
    </row>
    <row r="12" spans="1:15" ht="21" thickBot="1" x14ac:dyDescent="0.25">
      <c r="A12" s="57" t="s">
        <v>20</v>
      </c>
      <c r="B12" s="62">
        <f>E9*B7</f>
        <v>4.7190491568102999</v>
      </c>
      <c r="C12" s="6"/>
      <c r="D12" s="57" t="s">
        <v>14</v>
      </c>
      <c r="E12" s="58">
        <f>(PI()*0.086^2)-(PI()*0.071^2)</f>
        <v>7.3984506992039629E-3</v>
      </c>
      <c r="G12" s="48" t="s">
        <v>38</v>
      </c>
      <c r="H12" s="47">
        <f>E25/B11</f>
        <v>7.6433073353422669</v>
      </c>
    </row>
    <row r="13" spans="1:15" ht="17.25" thickBot="1" x14ac:dyDescent="0.25">
      <c r="A13" s="59" t="s">
        <v>21</v>
      </c>
      <c r="B13" s="64">
        <f>D3</f>
        <v>248.62992125984252</v>
      </c>
      <c r="C13" s="6"/>
      <c r="D13" s="59" t="s">
        <v>15</v>
      </c>
      <c r="E13" s="60">
        <f>(PI()*0.086^2)-(PI()*0.073^2)</f>
        <v>6.4936720149701005E-3</v>
      </c>
    </row>
    <row r="14" spans="1:15" ht="15" thickBot="1" x14ac:dyDescent="0.25">
      <c r="A14" s="6"/>
      <c r="B14" s="6"/>
      <c r="C14" s="6"/>
      <c r="D14" s="6"/>
      <c r="E14" s="6"/>
      <c r="F14" s="6"/>
      <c r="G14" s="16"/>
    </row>
    <row r="15" spans="1:15" ht="24" thickBot="1" x14ac:dyDescent="0.25">
      <c r="A15" s="95" t="s">
        <v>87</v>
      </c>
      <c r="B15" s="96"/>
      <c r="C15" s="96"/>
      <c r="D15" s="96"/>
      <c r="E15" s="97"/>
      <c r="F15" s="6"/>
      <c r="G15" s="6"/>
    </row>
    <row r="16" spans="1:15" ht="15" thickBot="1" x14ac:dyDescent="0.25">
      <c r="A16" s="6"/>
      <c r="B16" s="6"/>
      <c r="C16" s="6"/>
      <c r="D16" s="6"/>
      <c r="E16" s="6"/>
      <c r="F16" s="6"/>
      <c r="G16" s="6"/>
    </row>
    <row r="17" spans="1:7" ht="23.25" x14ac:dyDescent="0.2">
      <c r="A17" s="15" t="s">
        <v>10</v>
      </c>
      <c r="B17" s="14"/>
      <c r="C17" s="6"/>
      <c r="D17" s="15" t="s">
        <v>26</v>
      </c>
      <c r="E17" s="14"/>
      <c r="F17" s="6"/>
      <c r="G17" s="6"/>
    </row>
    <row r="18" spans="1:7" x14ac:dyDescent="0.2">
      <c r="A18" s="8"/>
      <c r="B18" s="10"/>
      <c r="C18" s="6"/>
      <c r="D18" s="8"/>
      <c r="E18" s="10"/>
      <c r="F18" s="6"/>
      <c r="G18" s="6"/>
    </row>
    <row r="19" spans="1:7" ht="15" x14ac:dyDescent="0.2">
      <c r="A19" s="65" t="s">
        <v>16</v>
      </c>
      <c r="B19" s="66">
        <f>B11*(B12/B20)^1.4</f>
        <v>133525.28889199224</v>
      </c>
      <c r="C19" s="67"/>
      <c r="D19" s="65" t="s">
        <v>27</v>
      </c>
      <c r="E19" s="66">
        <f>B25*(B26/E20)^1.4</f>
        <v>294553.30201823899</v>
      </c>
      <c r="F19" s="6"/>
      <c r="G19" s="6"/>
    </row>
    <row r="20" spans="1:7" ht="15" x14ac:dyDescent="0.2">
      <c r="A20" s="65" t="s">
        <v>22</v>
      </c>
      <c r="B20" s="68">
        <f>E10/E9*B12</f>
        <v>2.2131891926009368</v>
      </c>
      <c r="C20" s="67"/>
      <c r="D20" s="65" t="s">
        <v>28</v>
      </c>
      <c r="E20" s="68">
        <f>E12/E11*B26</f>
        <v>1.2577366188646735</v>
      </c>
      <c r="F20" s="6"/>
      <c r="G20" s="6"/>
    </row>
    <row r="21" spans="1:7" ht="15.75" thickBot="1" x14ac:dyDescent="0.25">
      <c r="A21" s="69" t="s">
        <v>18</v>
      </c>
      <c r="B21" s="70">
        <f>B13*(B19/B11)^(0.4/1.4)</f>
        <v>336.5795896551889</v>
      </c>
      <c r="C21" s="67"/>
      <c r="D21" s="69" t="s">
        <v>29</v>
      </c>
      <c r="E21" s="70">
        <f>B27*(E19/B25)^(0.4/1.4)</f>
        <v>421.94836727434802</v>
      </c>
      <c r="F21" s="6"/>
      <c r="G21" s="6"/>
    </row>
    <row r="22" spans="1:7" ht="15.75" thickBot="1" x14ac:dyDescent="0.25">
      <c r="A22" s="67"/>
      <c r="B22" s="67"/>
      <c r="C22" s="67"/>
      <c r="D22" s="67"/>
      <c r="E22" s="67"/>
      <c r="F22" s="6"/>
      <c r="G22" s="6"/>
    </row>
    <row r="23" spans="1:7" ht="15" x14ac:dyDescent="0.2">
      <c r="A23" s="71" t="s">
        <v>23</v>
      </c>
      <c r="B23" s="72"/>
      <c r="C23" s="67"/>
      <c r="D23" s="71" t="s">
        <v>30</v>
      </c>
      <c r="E23" s="72"/>
      <c r="F23" s="6"/>
      <c r="G23" s="6"/>
    </row>
    <row r="24" spans="1:7" ht="15" x14ac:dyDescent="0.2">
      <c r="A24" s="65"/>
      <c r="B24" s="66"/>
      <c r="C24" s="67"/>
      <c r="D24" s="65"/>
      <c r="E24" s="66"/>
      <c r="F24" s="6"/>
      <c r="G24" s="6"/>
    </row>
    <row r="25" spans="1:7" ht="15" x14ac:dyDescent="0.2">
      <c r="A25" s="65" t="s">
        <v>24</v>
      </c>
      <c r="B25" s="66">
        <f>B19*(B20/B26)^1.4</f>
        <v>206028.90513962664</v>
      </c>
      <c r="C25" s="67"/>
      <c r="D25" s="65" t="s">
        <v>31</v>
      </c>
      <c r="E25" s="66">
        <f>E19*(E20/E26)^1.4</f>
        <v>353569.26394884731</v>
      </c>
      <c r="F25" s="6"/>
      <c r="G25" s="6"/>
    </row>
    <row r="26" spans="1:7" ht="15" x14ac:dyDescent="0.2">
      <c r="A26" s="65" t="s">
        <v>17</v>
      </c>
      <c r="B26" s="68">
        <f>E11/E10*B20</f>
        <v>1.6235750833752041</v>
      </c>
      <c r="C26" s="67"/>
      <c r="D26" s="65" t="s">
        <v>32</v>
      </c>
      <c r="E26" s="68">
        <f>E13/E12*E20</f>
        <v>1.1039242425449169</v>
      </c>
      <c r="F26" s="6"/>
      <c r="G26" s="6"/>
    </row>
    <row r="27" spans="1:7" ht="15.75" thickBot="1" x14ac:dyDescent="0.25">
      <c r="A27" s="69" t="s">
        <v>25</v>
      </c>
      <c r="B27" s="70">
        <f>B21*(B25/B19)^(0.4/1.4)</f>
        <v>380.98356546732646</v>
      </c>
      <c r="C27" s="67"/>
      <c r="D27" s="69" t="s">
        <v>33</v>
      </c>
      <c r="E27" s="70">
        <f>E21*(E25/E19)^(0.4/1.4)</f>
        <v>444.54884339809411</v>
      </c>
      <c r="F27" s="6"/>
      <c r="G27" s="6"/>
    </row>
    <row r="28" spans="1:7" ht="15" thickBot="1" x14ac:dyDescent="0.25">
      <c r="A28" s="17"/>
      <c r="B28" s="17"/>
      <c r="C28" s="17"/>
      <c r="D28" s="17"/>
      <c r="E28" s="17"/>
      <c r="F28" s="17"/>
      <c r="G28" s="17"/>
    </row>
    <row r="29" spans="1:7" ht="24" thickBot="1" x14ac:dyDescent="0.25">
      <c r="A29" s="95" t="s">
        <v>88</v>
      </c>
      <c r="B29" s="96"/>
      <c r="C29" s="96"/>
      <c r="D29" s="96"/>
      <c r="E29" s="97"/>
    </row>
    <row r="30" spans="1:7" ht="15" thickBot="1" x14ac:dyDescent="0.25"/>
    <row r="31" spans="1:7" ht="24" thickBot="1" x14ac:dyDescent="0.3">
      <c r="A31" s="18" t="s">
        <v>34</v>
      </c>
      <c r="B31" s="14"/>
      <c r="D31" s="73" t="s">
        <v>39</v>
      </c>
      <c r="E31" s="74">
        <f>E32/E33</f>
        <v>0.02</v>
      </c>
    </row>
    <row r="32" spans="1:7" ht="18" x14ac:dyDescent="0.25">
      <c r="A32" s="8"/>
      <c r="B32" s="10"/>
      <c r="D32" s="75" t="s">
        <v>84</v>
      </c>
      <c r="E32" s="76">
        <v>1</v>
      </c>
    </row>
    <row r="33" spans="1:5" ht="18.75" thickBot="1" x14ac:dyDescent="0.3">
      <c r="A33" s="57" t="s">
        <v>35</v>
      </c>
      <c r="B33" s="61">
        <f>E25</f>
        <v>353569.26394884731</v>
      </c>
      <c r="D33" s="77" t="s">
        <v>83</v>
      </c>
      <c r="E33" s="78">
        <v>50</v>
      </c>
    </row>
    <row r="34" spans="1:5" ht="16.5" x14ac:dyDescent="0.2">
      <c r="A34" s="57" t="s">
        <v>36</v>
      </c>
      <c r="B34" s="62">
        <f>B35/E27*E26</f>
        <v>3.289180931132428</v>
      </c>
    </row>
    <row r="35" spans="1:5" ht="17.25" thickBot="1" x14ac:dyDescent="0.25">
      <c r="A35" s="59" t="s">
        <v>37</v>
      </c>
      <c r="B35" s="64">
        <f>(1000*E27+E31*(44*10^6))/1000</f>
        <v>1324.5488433980943</v>
      </c>
    </row>
    <row r="36" spans="1:5" ht="17.25" thickBot="1" x14ac:dyDescent="0.3">
      <c r="A36" s="63"/>
      <c r="B36" s="63"/>
    </row>
    <row r="37" spans="1:5" ht="24" thickBot="1" x14ac:dyDescent="0.4">
      <c r="A37" s="98" t="s">
        <v>89</v>
      </c>
      <c r="B37" s="99"/>
      <c r="C37" s="99"/>
      <c r="D37" s="99"/>
      <c r="E37" s="100"/>
    </row>
    <row r="38" spans="1:5" ht="15" thickBot="1" x14ac:dyDescent="0.25"/>
    <row r="39" spans="1:5" ht="24" thickBot="1" x14ac:dyDescent="0.3">
      <c r="A39" s="19" t="s">
        <v>40</v>
      </c>
      <c r="B39" s="14"/>
      <c r="D39" s="82" t="s">
        <v>96</v>
      </c>
      <c r="E39" s="83">
        <v>89</v>
      </c>
    </row>
    <row r="40" spans="1:5" x14ac:dyDescent="0.2">
      <c r="A40" s="8"/>
      <c r="B40" s="10"/>
    </row>
    <row r="41" spans="1:5" ht="16.5" x14ac:dyDescent="0.2">
      <c r="A41" s="57" t="s">
        <v>41</v>
      </c>
      <c r="B41" s="61">
        <f>B33*(B43/B35)^(1.4/0.4)</f>
        <v>187154.35055108782</v>
      </c>
    </row>
    <row r="42" spans="1:5" ht="16.5" x14ac:dyDescent="0.2">
      <c r="A42" s="57" t="s">
        <v>42</v>
      </c>
      <c r="B42" s="62">
        <f>B34/(B43/B35)^(1/0.4)</f>
        <v>5.1811569412958782</v>
      </c>
    </row>
    <row r="43" spans="1:5" ht="17.25" thickBot="1" x14ac:dyDescent="0.25">
      <c r="A43" s="59" t="s">
        <v>43</v>
      </c>
      <c r="B43" s="64">
        <f>B35+((B13-E27)/(E39/100))</f>
        <v>1104.4152230180364</v>
      </c>
    </row>
    <row r="45" spans="1:5" ht="15" thickBot="1" x14ac:dyDescent="0.25"/>
    <row r="46" spans="1:5" ht="24" thickBot="1" x14ac:dyDescent="0.25">
      <c r="A46" s="95" t="s">
        <v>90</v>
      </c>
      <c r="B46" s="96"/>
      <c r="C46" s="96"/>
      <c r="D46" s="96"/>
      <c r="E46" s="97"/>
    </row>
    <row r="47" spans="1:5" ht="15" thickBot="1" x14ac:dyDescent="0.25"/>
    <row r="48" spans="1:5" ht="23.25" x14ac:dyDescent="0.25">
      <c r="A48" s="20" t="s">
        <v>44</v>
      </c>
      <c r="B48" s="14"/>
      <c r="D48" s="79" t="s">
        <v>48</v>
      </c>
      <c r="E48" s="80">
        <v>1</v>
      </c>
    </row>
    <row r="49" spans="1:5" ht="18.75" thickBot="1" x14ac:dyDescent="0.3">
      <c r="A49" s="8"/>
      <c r="B49" s="10"/>
      <c r="D49" s="23" t="s">
        <v>49</v>
      </c>
      <c r="E49" s="81">
        <v>0.127</v>
      </c>
    </row>
    <row r="50" spans="1:5" ht="16.5" x14ac:dyDescent="0.2">
      <c r="A50" s="57" t="s">
        <v>45</v>
      </c>
      <c r="B50" s="61">
        <f>E3*E48</f>
        <v>46258.674214755294</v>
      </c>
    </row>
    <row r="51" spans="1:5" ht="16.5" x14ac:dyDescent="0.2">
      <c r="A51" s="57" t="s">
        <v>46</v>
      </c>
      <c r="B51" s="62">
        <f>B42/(B50/B41)^(1/1.4)</f>
        <v>14.060572185527889</v>
      </c>
    </row>
    <row r="52" spans="1:5" ht="17.25" thickBot="1" x14ac:dyDescent="0.25">
      <c r="A52" s="59" t="s">
        <v>47</v>
      </c>
      <c r="B52" s="64">
        <f>B43*(B50/B41)^(0.4/1.4)</f>
        <v>740.8015553961859</v>
      </c>
    </row>
    <row r="54" spans="1:5" ht="15" thickBot="1" x14ac:dyDescent="0.25"/>
    <row r="55" spans="1:5" ht="24" thickBot="1" x14ac:dyDescent="0.25">
      <c r="A55" s="95" t="s">
        <v>91</v>
      </c>
      <c r="B55" s="96"/>
      <c r="C55" s="96"/>
      <c r="D55" s="96"/>
      <c r="E55" s="97"/>
    </row>
    <row r="56" spans="1:5" ht="15" thickBot="1" x14ac:dyDescent="0.25"/>
    <row r="57" spans="1:5" ht="19.5" thickBot="1" x14ac:dyDescent="0.3">
      <c r="A57" s="84" t="s">
        <v>97</v>
      </c>
      <c r="B57" s="21">
        <f>B51/((PI()*E49^2)/4)</f>
        <v>1109.9557646610094</v>
      </c>
    </row>
    <row r="58" spans="1:5" ht="15" thickBot="1" x14ac:dyDescent="0.25">
      <c r="B58" s="22"/>
    </row>
    <row r="59" spans="1:5" ht="21" customHeight="1" x14ac:dyDescent="0.2">
      <c r="A59" s="85" t="s">
        <v>51</v>
      </c>
      <c r="B59" s="88">
        <f>(F3*E9*B7)*(B57-B7)</f>
        <v>2925.8542852331602</v>
      </c>
    </row>
    <row r="60" spans="1:5" ht="21" customHeight="1" x14ac:dyDescent="0.2">
      <c r="A60" s="86" t="s">
        <v>52</v>
      </c>
      <c r="B60" s="89">
        <f>(E31*F3*E9*B7)*B57</f>
        <v>69.100460948263546</v>
      </c>
    </row>
    <row r="61" spans="1:5" ht="24" customHeight="1" thickBot="1" x14ac:dyDescent="0.25">
      <c r="A61" s="87" t="s">
        <v>53</v>
      </c>
      <c r="B61" s="90">
        <f>(PI()*E49^2/4)*(E3-B50)</f>
        <v>0</v>
      </c>
    </row>
    <row r="62" spans="1:5" ht="15" thickBot="1" x14ac:dyDescent="0.25"/>
    <row r="63" spans="1:5" ht="24" thickBot="1" x14ac:dyDescent="0.25">
      <c r="A63" s="95" t="s">
        <v>92</v>
      </c>
      <c r="B63" s="96"/>
      <c r="C63" s="96"/>
      <c r="D63" s="96"/>
      <c r="E63" s="97"/>
    </row>
    <row r="64" spans="1:5" ht="15" thickBot="1" x14ac:dyDescent="0.25"/>
    <row r="65" spans="1:7" x14ac:dyDescent="0.2">
      <c r="A65" s="24" t="s">
        <v>55</v>
      </c>
      <c r="B65" s="25">
        <f>F3*E9*B7*E31*(44*10^6)/(10^3)</f>
        <v>2739.2265336377322</v>
      </c>
      <c r="C65" s="26"/>
      <c r="D65" s="24" t="s">
        <v>61</v>
      </c>
      <c r="E65" s="27">
        <f>B67/B65</f>
        <v>0.44071405211779147</v>
      </c>
    </row>
    <row r="66" spans="1:7" x14ac:dyDescent="0.2">
      <c r="A66" s="28" t="s">
        <v>56</v>
      </c>
      <c r="B66" s="29">
        <f>D4*1000*(B52-B13)/1000</f>
        <v>1532.0109083296754</v>
      </c>
      <c r="C66" s="26"/>
      <c r="D66" s="28" t="s">
        <v>62</v>
      </c>
      <c r="E66" s="30">
        <f>B68/B67</f>
        <v>1.5510750442725019</v>
      </c>
    </row>
    <row r="67" spans="1:7" x14ac:dyDescent="0.2">
      <c r="A67" s="28" t="s">
        <v>57</v>
      </c>
      <c r="B67" s="29">
        <f>B65-B66</f>
        <v>1207.2156253080568</v>
      </c>
      <c r="C67" s="26"/>
      <c r="D67" s="28" t="s">
        <v>63</v>
      </c>
      <c r="E67" s="30">
        <f>B69/B68</f>
        <v>0.27190771331174823</v>
      </c>
    </row>
    <row r="68" spans="1:7" x14ac:dyDescent="0.2">
      <c r="A68" s="28" t="s">
        <v>58</v>
      </c>
      <c r="B68" s="29">
        <f>0.5*D4*(B57^2-B7^2)/1000</f>
        <v>1872.4820294711503</v>
      </c>
      <c r="C68" s="26"/>
      <c r="D68" s="28" t="s">
        <v>64</v>
      </c>
      <c r="E68" s="30">
        <f>B68/B65</f>
        <v>0.68358056790011712</v>
      </c>
    </row>
    <row r="69" spans="1:7" ht="15" thickBot="1" x14ac:dyDescent="0.25">
      <c r="A69" s="28" t="s">
        <v>59</v>
      </c>
      <c r="B69" s="29">
        <f>(B61+B60+B59)*B7/1000</f>
        <v>509.14230685084203</v>
      </c>
      <c r="C69" s="26"/>
      <c r="D69" s="31" t="s">
        <v>65</v>
      </c>
      <c r="E69" s="32">
        <f>B69/B65</f>
        <v>0.18587082908206709</v>
      </c>
    </row>
    <row r="70" spans="1:7" ht="15" thickBot="1" x14ac:dyDescent="0.25">
      <c r="A70" s="31" t="s">
        <v>60</v>
      </c>
      <c r="B70" s="33">
        <f>B69-B68</f>
        <v>-1363.3397226203083</v>
      </c>
      <c r="C70" s="26"/>
      <c r="D70" s="26"/>
      <c r="E70" s="26"/>
    </row>
    <row r="71" spans="1:7" x14ac:dyDescent="0.2">
      <c r="A71" s="26"/>
      <c r="B71" s="34"/>
      <c r="C71" s="26"/>
      <c r="D71" s="26"/>
      <c r="E71" s="26"/>
      <c r="G71" s="1" t="s">
        <v>95</v>
      </c>
    </row>
    <row r="72" spans="1:7" x14ac:dyDescent="0.2">
      <c r="A72" s="26"/>
      <c r="B72" s="26"/>
      <c r="C72" s="26"/>
      <c r="D72" s="26"/>
      <c r="E72" s="26"/>
    </row>
    <row r="73" spans="1:7" ht="20.25" x14ac:dyDescent="0.2">
      <c r="A73" s="35" t="s">
        <v>66</v>
      </c>
      <c r="B73" s="26"/>
      <c r="C73" s="26"/>
      <c r="D73" s="26"/>
      <c r="E73" s="26"/>
    </row>
    <row r="74" spans="1:7" x14ac:dyDescent="0.2">
      <c r="A74" s="26"/>
      <c r="B74" s="26"/>
      <c r="C74" s="26"/>
      <c r="D74" s="26"/>
      <c r="E74" s="26"/>
    </row>
    <row r="75" spans="1:7" ht="20.25" x14ac:dyDescent="0.2">
      <c r="A75" s="35" t="s">
        <v>67</v>
      </c>
      <c r="C75" s="26"/>
      <c r="D75" s="35" t="s">
        <v>77</v>
      </c>
      <c r="E75" s="26"/>
    </row>
    <row r="76" spans="1:7" x14ac:dyDescent="0.2">
      <c r="A76" s="26"/>
      <c r="B76" s="26"/>
      <c r="C76" s="26"/>
      <c r="D76" s="26"/>
      <c r="E76" s="26"/>
    </row>
    <row r="77" spans="1:7" x14ac:dyDescent="0.2">
      <c r="A77" s="36" t="s">
        <v>68</v>
      </c>
      <c r="B77" s="36" t="s">
        <v>79</v>
      </c>
      <c r="D77" s="36" t="s">
        <v>68</v>
      </c>
      <c r="E77" s="36" t="s">
        <v>80</v>
      </c>
    </row>
    <row r="78" spans="1:7" x14ac:dyDescent="0.2">
      <c r="A78" s="36" t="s">
        <v>69</v>
      </c>
      <c r="B78" s="37">
        <f>B11/100</f>
        <v>462.58674214755297</v>
      </c>
      <c r="D78" s="36" t="s">
        <v>69</v>
      </c>
      <c r="E78" s="37">
        <f>B12</f>
        <v>4.7190491568102999</v>
      </c>
    </row>
    <row r="79" spans="1:7" x14ac:dyDescent="0.2">
      <c r="A79" s="36" t="s">
        <v>70</v>
      </c>
      <c r="B79" s="37">
        <f>B19/100</f>
        <v>1335.2528889199225</v>
      </c>
      <c r="D79" s="36" t="s">
        <v>70</v>
      </c>
      <c r="E79" s="37">
        <f>B20</f>
        <v>2.2131891926009368</v>
      </c>
    </row>
    <row r="80" spans="1:7" x14ac:dyDescent="0.2">
      <c r="A80" s="36" t="s">
        <v>71</v>
      </c>
      <c r="B80" s="37">
        <f>B25/100</f>
        <v>2060.2890513962666</v>
      </c>
      <c r="D80" s="36" t="s">
        <v>71</v>
      </c>
      <c r="E80" s="37">
        <f>B26</f>
        <v>1.6235750833752041</v>
      </c>
    </row>
    <row r="81" spans="1:5" x14ac:dyDescent="0.2">
      <c r="A81" s="36" t="s">
        <v>72</v>
      </c>
      <c r="B81" s="37">
        <f>E19/100</f>
        <v>2945.5330201823899</v>
      </c>
      <c r="D81" s="36" t="s">
        <v>72</v>
      </c>
      <c r="E81" s="37">
        <f>E20</f>
        <v>1.2577366188646735</v>
      </c>
    </row>
    <row r="82" spans="1:5" x14ac:dyDescent="0.2">
      <c r="A82" s="36" t="s">
        <v>73</v>
      </c>
      <c r="B82" s="37">
        <f>E25/100</f>
        <v>3535.6926394884731</v>
      </c>
      <c r="D82" s="36" t="s">
        <v>73</v>
      </c>
      <c r="E82" s="37">
        <f>E26</f>
        <v>1.1039242425449169</v>
      </c>
    </row>
    <row r="83" spans="1:5" x14ac:dyDescent="0.2">
      <c r="A83" s="36" t="s">
        <v>74</v>
      </c>
      <c r="B83" s="37">
        <f>B33/100</f>
        <v>3535.6926394884731</v>
      </c>
      <c r="D83" s="36" t="s">
        <v>74</v>
      </c>
      <c r="E83" s="37">
        <f>B34</f>
        <v>3.289180931132428</v>
      </c>
    </row>
    <row r="84" spans="1:5" x14ac:dyDescent="0.2">
      <c r="A84" s="36" t="s">
        <v>75</v>
      </c>
      <c r="B84" s="37">
        <f>B41/100</f>
        <v>1871.5435055108783</v>
      </c>
      <c r="D84" s="36" t="s">
        <v>75</v>
      </c>
      <c r="E84" s="37">
        <f>B42</f>
        <v>5.1811569412958782</v>
      </c>
    </row>
    <row r="85" spans="1:5" x14ac:dyDescent="0.2">
      <c r="A85" s="36" t="s">
        <v>76</v>
      </c>
      <c r="B85" s="37">
        <f>B50/100</f>
        <v>462.58674214755297</v>
      </c>
      <c r="D85" s="36" t="s">
        <v>76</v>
      </c>
      <c r="E85" s="37">
        <f>B51</f>
        <v>14.060572185527889</v>
      </c>
    </row>
    <row r="87" spans="1:5" ht="20.25" x14ac:dyDescent="0.2">
      <c r="A87" s="35" t="s">
        <v>78</v>
      </c>
    </row>
    <row r="89" spans="1:5" x14ac:dyDescent="0.2">
      <c r="A89" s="36" t="s">
        <v>68</v>
      </c>
      <c r="B89" s="36" t="s">
        <v>2</v>
      </c>
    </row>
    <row r="90" spans="1:5" x14ac:dyDescent="0.2">
      <c r="A90" s="36" t="s">
        <v>69</v>
      </c>
      <c r="B90" s="37">
        <f>B13</f>
        <v>248.62992125984252</v>
      </c>
    </row>
    <row r="91" spans="1:5" x14ac:dyDescent="0.2">
      <c r="A91" s="36" t="s">
        <v>70</v>
      </c>
      <c r="B91" s="37">
        <f>B21</f>
        <v>336.5795896551889</v>
      </c>
    </row>
    <row r="92" spans="1:5" x14ac:dyDescent="0.2">
      <c r="A92" s="36" t="s">
        <v>71</v>
      </c>
      <c r="B92" s="37">
        <f>B27</f>
        <v>380.98356546732646</v>
      </c>
    </row>
    <row r="93" spans="1:5" x14ac:dyDescent="0.2">
      <c r="A93" s="36" t="s">
        <v>72</v>
      </c>
      <c r="B93" s="37">
        <f>E21</f>
        <v>421.94836727434802</v>
      </c>
    </row>
    <row r="94" spans="1:5" x14ac:dyDescent="0.2">
      <c r="A94" s="36" t="s">
        <v>73</v>
      </c>
      <c r="B94" s="37">
        <f>E27</f>
        <v>444.54884339809411</v>
      </c>
    </row>
    <row r="95" spans="1:5" x14ac:dyDescent="0.2">
      <c r="A95" s="36" t="s">
        <v>74</v>
      </c>
      <c r="B95" s="37">
        <f>B35</f>
        <v>1324.5488433980943</v>
      </c>
    </row>
    <row r="96" spans="1:5" x14ac:dyDescent="0.2">
      <c r="A96" s="36" t="s">
        <v>75</v>
      </c>
      <c r="B96" s="37">
        <f>B43</f>
        <v>1104.4152230180364</v>
      </c>
    </row>
    <row r="97" spans="1:2" x14ac:dyDescent="0.2">
      <c r="A97" s="36" t="s">
        <v>76</v>
      </c>
      <c r="B97" s="37">
        <f>B52</f>
        <v>740.8015553961859</v>
      </c>
    </row>
  </sheetData>
  <mergeCells count="11">
    <mergeCell ref="A1:O1"/>
    <mergeCell ref="A63:E63"/>
    <mergeCell ref="A46:E46"/>
    <mergeCell ref="A55:E55"/>
    <mergeCell ref="A29:E29"/>
    <mergeCell ref="A15:E15"/>
    <mergeCell ref="A37:E37"/>
    <mergeCell ref="K9:L9"/>
    <mergeCell ref="I2:J2"/>
    <mergeCell ref="I3:J7"/>
    <mergeCell ref="M2:O2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autoPict="0">
                <anchor moveWithCells="1" sizeWithCells="1">
                  <from>
                    <xdr:col>6</xdr:col>
                    <xdr:colOff>676275</xdr:colOff>
                    <xdr:row>1</xdr:row>
                    <xdr:rowOff>533400</xdr:rowOff>
                  </from>
                  <to>
                    <xdr:col>6</xdr:col>
                    <xdr:colOff>1190625</xdr:colOff>
                    <xdr:row>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Spinner 2">
              <controlPr defaultSize="0" autoPict="0">
                <anchor moveWithCells="1" sizeWithCells="1">
                  <from>
                    <xdr:col>7</xdr:col>
                    <xdr:colOff>533400</xdr:colOff>
                    <xdr:row>1</xdr:row>
                    <xdr:rowOff>533400</xdr:rowOff>
                  </from>
                  <to>
                    <xdr:col>7</xdr:col>
                    <xdr:colOff>1047750</xdr:colOff>
                    <xdr:row>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Spinner 3">
              <controlPr defaultSize="0" autoPict="0">
                <anchor moveWithCells="1" sizeWithCells="1">
                  <from>
                    <xdr:col>8</xdr:col>
                    <xdr:colOff>704850</xdr:colOff>
                    <xdr:row>1</xdr:row>
                    <xdr:rowOff>533400</xdr:rowOff>
                  </from>
                  <to>
                    <xdr:col>9</xdr:col>
                    <xdr:colOff>409575</xdr:colOff>
                    <xdr:row>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Spinner 4">
              <controlPr defaultSize="0" autoPict="0">
                <anchor moveWithCells="1" sizeWithCells="1">
                  <from>
                    <xdr:col>2</xdr:col>
                    <xdr:colOff>209550</xdr:colOff>
                    <xdr:row>5</xdr:row>
                    <xdr:rowOff>104775</xdr:rowOff>
                  </from>
                  <to>
                    <xdr:col>2</xdr:col>
                    <xdr:colOff>723900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TRI60</vt:lpstr>
      <vt:lpstr>Feuil3</vt:lpstr>
    </vt:vector>
  </TitlesOfParts>
  <Company>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</dc:creator>
  <cp:lastModifiedBy>FERNANDEZ</cp:lastModifiedBy>
  <cp:lastPrinted>2016-03-15T16:46:01Z</cp:lastPrinted>
  <dcterms:created xsi:type="dcterms:W3CDTF">2016-03-15T07:40:01Z</dcterms:created>
  <dcterms:modified xsi:type="dcterms:W3CDTF">2019-05-17T10:49:48Z</dcterms:modified>
</cp:coreProperties>
</file>