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FREEBOX\Disque dur\dvd_nuc_03\rnr_portail_sti\sujets_epreuves_examen\bts_en\2019_le_creusot\"/>
    </mc:Choice>
  </mc:AlternateContent>
  <xr:revisionPtr revIDLastSave="0" documentId="13_ncr:1_{1B4A6138-9BFE-47AC-8FAF-CFAD75E1EE66}" xr6:coauthVersionLast="44" xr6:coauthVersionMax="44" xr10:uidLastSave="{00000000-0000-0000-0000-000000000000}"/>
  <bookViews>
    <workbookView xWindow="-108" yWindow="-108" windowWidth="23256" windowHeight="12576" activeTab="7" xr2:uid="{00000000-000D-0000-FFFF-FFFF00000000}"/>
  </bookViews>
  <sheets>
    <sheet name="Page 1" sheetId="15" r:id="rId1"/>
    <sheet name="Page 2" sheetId="6" r:id="rId2"/>
    <sheet name="Page 3" sheetId="8" r:id="rId3"/>
    <sheet name="Page 4" sheetId="10" r:id="rId4"/>
    <sheet name="Page 5" sheetId="9" r:id="rId5"/>
    <sheet name="Page 6" sheetId="11" r:id="rId6"/>
    <sheet name="Page 7" sheetId="13" r:id="rId7"/>
    <sheet name="Page 8" sheetId="12" r:id="rId8"/>
  </sheets>
  <definedNames>
    <definedName name="_xlnm.Print_Area" localSheetId="3">'Page 4'!$A$1:$H$50</definedName>
    <definedName name="_xlnm.Print_Area" localSheetId="7">'Page 8'!$A$1:$I$50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9" l="1"/>
  <c r="E25" i="11" l="1"/>
  <c r="E36" i="6"/>
  <c r="E24" i="6"/>
  <c r="E25" i="6" s="1"/>
  <c r="E18" i="6"/>
  <c r="E19" i="6" s="1"/>
  <c r="E8" i="6"/>
  <c r="E9" i="6" s="1"/>
  <c r="E29" i="6" s="1"/>
  <c r="E30" i="6" s="1"/>
  <c r="E6" i="6"/>
  <c r="E12" i="6"/>
  <c r="E31" i="12"/>
  <c r="D31" i="12"/>
  <c r="E30" i="12"/>
  <c r="D30" i="12"/>
  <c r="E29" i="12"/>
  <c r="D29" i="12"/>
  <c r="E20" i="12"/>
  <c r="E19" i="12"/>
  <c r="G8" i="12"/>
  <c r="E10" i="12"/>
  <c r="E11" i="12"/>
  <c r="E14" i="12" s="1"/>
  <c r="E21" i="12" s="1"/>
  <c r="E22" i="12" s="1"/>
  <c r="G7" i="12"/>
  <c r="G6" i="12"/>
  <c r="E21" i="11"/>
  <c r="E30" i="11" s="1"/>
  <c r="E31" i="11" s="1"/>
  <c r="E38" i="9"/>
  <c r="E39" i="9"/>
  <c r="E16" i="11" s="1"/>
  <c r="E36" i="9"/>
  <c r="E22" i="9"/>
  <c r="E25" i="9"/>
  <c r="E27" i="9" s="1"/>
  <c r="E32" i="9" s="1"/>
  <c r="G4" i="9"/>
  <c r="E43" i="8"/>
  <c r="E38" i="8"/>
  <c r="E41" i="8" s="1"/>
  <c r="E44" i="8" s="1"/>
  <c r="F29" i="8"/>
  <c r="E29" i="8"/>
  <c r="E30" i="8" s="1"/>
  <c r="E7" i="8"/>
  <c r="E16" i="8" s="1"/>
  <c r="E17" i="8" s="1"/>
  <c r="E19" i="8" s="1"/>
  <c r="E20" i="8" s="1"/>
  <c r="E28" i="6"/>
  <c r="E40" i="9" l="1"/>
  <c r="E41" i="9" s="1"/>
  <c r="E17" i="11" s="1"/>
  <c r="E31" i="8"/>
  <c r="D1" i="10"/>
  <c r="D3" i="10" s="1"/>
  <c r="D7" i="10" s="1"/>
</calcChain>
</file>

<file path=xl/sharedStrings.xml><?xml version="1.0" encoding="utf-8"?>
<sst xmlns="http://schemas.openxmlformats.org/spreadsheetml/2006/main" count="410" uniqueCount="297">
  <si>
    <t>h</t>
  </si>
  <si>
    <t>m</t>
  </si>
  <si>
    <t>dB</t>
  </si>
  <si>
    <t xml:space="preserve">Contrôle de dimensionnement du transformateur d’appoint </t>
  </si>
  <si>
    <t>1/</t>
  </si>
  <si>
    <t>1-1/</t>
  </si>
  <si>
    <t>U =</t>
  </si>
  <si>
    <t>V</t>
  </si>
  <si>
    <t>I =</t>
  </si>
  <si>
    <r>
      <t xml:space="preserve">cos </t>
    </r>
    <r>
      <rPr>
        <sz val="10"/>
        <rFont val="Symbol"/>
        <family val="1"/>
        <charset val="2"/>
      </rPr>
      <t>j</t>
    </r>
    <r>
      <rPr>
        <sz val="10"/>
        <rFont val="Times New Roman"/>
      </rPr>
      <t xml:space="preserve"> =</t>
    </r>
  </si>
  <si>
    <r>
      <t>P</t>
    </r>
    <r>
      <rPr>
        <vertAlign val="subscript"/>
        <sz val="10"/>
        <rFont val="Times New Roman"/>
        <family val="1"/>
      </rPr>
      <t>d</t>
    </r>
    <r>
      <rPr>
        <sz val="10"/>
        <rFont val="Times New Roman"/>
      </rPr>
      <t xml:space="preserve"> =</t>
    </r>
  </si>
  <si>
    <t>W</t>
  </si>
  <si>
    <t>A</t>
  </si>
  <si>
    <r>
      <t>Q</t>
    </r>
    <r>
      <rPr>
        <vertAlign val="subscript"/>
        <sz val="10"/>
        <rFont val="Times New Roman"/>
        <family val="1"/>
      </rPr>
      <t>d</t>
    </r>
    <r>
      <rPr>
        <sz val="10"/>
        <rFont val="Times New Roman"/>
      </rPr>
      <t xml:space="preserve"> =</t>
    </r>
  </si>
  <si>
    <r>
      <t xml:space="preserve">sin </t>
    </r>
    <r>
      <rPr>
        <sz val="10"/>
        <rFont val="Symbol"/>
        <family val="1"/>
        <charset val="2"/>
      </rPr>
      <t>j</t>
    </r>
    <r>
      <rPr>
        <sz val="10"/>
        <rFont val="Times New Roman"/>
      </rPr>
      <t xml:space="preserve"> =</t>
    </r>
  </si>
  <si>
    <t>VAr</t>
  </si>
  <si>
    <t>1-2/</t>
  </si>
  <si>
    <r>
      <t>P</t>
    </r>
    <r>
      <rPr>
        <vertAlign val="subscript"/>
        <sz val="10"/>
        <rFont val="Times New Roman"/>
        <family val="1"/>
      </rPr>
      <t>U</t>
    </r>
    <r>
      <rPr>
        <sz val="10"/>
        <rFont val="Times New Roman"/>
      </rPr>
      <t xml:space="preserve"> =</t>
    </r>
  </si>
  <si>
    <r>
      <t>h</t>
    </r>
    <r>
      <rPr>
        <sz val="10"/>
        <rFont val="Times New Roman"/>
      </rPr>
      <t xml:space="preserve"> =</t>
    </r>
  </si>
  <si>
    <t>1-3/</t>
  </si>
  <si>
    <r>
      <t xml:space="preserve">tan </t>
    </r>
    <r>
      <rPr>
        <sz val="10"/>
        <rFont val="Symbol"/>
        <family val="1"/>
        <charset val="2"/>
      </rPr>
      <t>j</t>
    </r>
    <r>
      <rPr>
        <sz val="10"/>
        <rFont val="Times New Roman"/>
      </rPr>
      <t xml:space="preserve"> =</t>
    </r>
  </si>
  <si>
    <t>1-4/</t>
  </si>
  <si>
    <r>
      <t>P</t>
    </r>
    <r>
      <rPr>
        <vertAlign val="subscript"/>
        <sz val="10"/>
        <rFont val="Times New Roman"/>
        <family val="1"/>
      </rPr>
      <t>e</t>
    </r>
    <r>
      <rPr>
        <sz val="10"/>
        <rFont val="Times New Roman"/>
      </rPr>
      <t xml:space="preserve"> =</t>
    </r>
  </si>
  <si>
    <r>
      <t>Q</t>
    </r>
    <r>
      <rPr>
        <vertAlign val="subscript"/>
        <sz val="10"/>
        <rFont val="Times New Roman"/>
        <family val="1"/>
      </rPr>
      <t>e</t>
    </r>
    <r>
      <rPr>
        <sz val="10"/>
        <rFont val="Times New Roman"/>
      </rPr>
      <t xml:space="preserve"> =</t>
    </r>
  </si>
  <si>
    <t>1-5/</t>
  </si>
  <si>
    <r>
      <t>P</t>
    </r>
    <r>
      <rPr>
        <vertAlign val="subscript"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</t>
    </r>
  </si>
  <si>
    <r>
      <t>Q</t>
    </r>
    <r>
      <rPr>
        <vertAlign val="subscript"/>
        <sz val="10"/>
        <rFont val="Times New Roman"/>
        <family val="1"/>
      </rPr>
      <t>t</t>
    </r>
    <r>
      <rPr>
        <sz val="10"/>
        <rFont val="Times New Roman"/>
      </rPr>
      <t xml:space="preserve"> =</t>
    </r>
  </si>
  <si>
    <t>1-6/</t>
  </si>
  <si>
    <r>
      <t>S</t>
    </r>
    <r>
      <rPr>
        <vertAlign val="subscript"/>
        <sz val="10"/>
        <rFont val="Times New Roman"/>
        <family val="1"/>
      </rPr>
      <t>t</t>
    </r>
    <r>
      <rPr>
        <sz val="10"/>
        <rFont val="Times New Roman"/>
      </rPr>
      <t xml:space="preserve"> =</t>
    </r>
  </si>
  <si>
    <t>S =</t>
  </si>
  <si>
    <t>kVA</t>
  </si>
  <si>
    <t>utilisable à 60% avec un coeff de sécurité de 1,5</t>
  </si>
  <si>
    <r>
      <t>S</t>
    </r>
    <r>
      <rPr>
        <vertAlign val="subscript"/>
        <sz val="10"/>
        <rFont val="Times New Roman"/>
        <family val="1"/>
      </rPr>
      <t>utilisable</t>
    </r>
    <r>
      <rPr>
        <sz val="10"/>
        <rFont val="Times New Roman"/>
      </rPr>
      <t xml:space="preserve"> =</t>
    </r>
  </si>
  <si>
    <t>&lt;</t>
  </si>
  <si>
    <r>
      <t>S</t>
    </r>
    <r>
      <rPr>
        <vertAlign val="subscript"/>
        <sz val="10"/>
        <rFont val="Times New Roman"/>
        <family val="1"/>
      </rPr>
      <t>utilisable</t>
    </r>
  </si>
  <si>
    <t>transfo compatible aux exigences</t>
  </si>
  <si>
    <t>2/</t>
  </si>
  <si>
    <t>2-1/</t>
  </si>
  <si>
    <r>
      <t>59</t>
    </r>
    <r>
      <rPr>
        <vertAlign val="subscript"/>
        <sz val="10"/>
        <rFont val="Times New Roman"/>
        <family val="1"/>
      </rPr>
      <t>27</t>
    </r>
    <r>
      <rPr>
        <sz val="10"/>
        <rFont val="Times New Roman"/>
      </rPr>
      <t>Co</t>
    </r>
  </si>
  <si>
    <t>protons</t>
  </si>
  <si>
    <t>nucléons</t>
  </si>
  <si>
    <t>neutrons</t>
  </si>
  <si>
    <t>2-2/</t>
  </si>
  <si>
    <t>g</t>
  </si>
  <si>
    <r>
      <t>59</t>
    </r>
    <r>
      <rPr>
        <vertAlign val="subscript"/>
        <sz val="10"/>
        <rFont val="Times New Roman"/>
        <family val="1"/>
      </rPr>
      <t>27</t>
    </r>
    <r>
      <rPr>
        <sz val="10"/>
        <rFont val="Times New Roman"/>
      </rPr>
      <t xml:space="preserve">Co + </t>
    </r>
    <r>
      <rPr>
        <vertAlign val="superscript"/>
        <sz val="10"/>
        <rFont val="Times New Roman"/>
        <family val="1"/>
      </rPr>
      <t>1</t>
    </r>
    <r>
      <rPr>
        <vertAlign val="subscript"/>
        <sz val="10"/>
        <rFont val="Times New Roman"/>
        <family val="1"/>
      </rPr>
      <t>0</t>
    </r>
    <r>
      <rPr>
        <sz val="10"/>
        <rFont val="Times New Roman"/>
      </rPr>
      <t>n</t>
    </r>
  </si>
  <si>
    <r>
      <t>60</t>
    </r>
    <r>
      <rPr>
        <vertAlign val="subscript"/>
        <sz val="10"/>
        <rFont val="Times New Roman"/>
        <family val="1"/>
      </rPr>
      <t>27</t>
    </r>
    <r>
      <rPr>
        <sz val="10"/>
        <rFont val="Times New Roman"/>
      </rPr>
      <t>Co</t>
    </r>
  </si>
  <si>
    <t>1u =</t>
  </si>
  <si>
    <r>
      <t>MeV/c</t>
    </r>
    <r>
      <rPr>
        <vertAlign val="superscript"/>
        <sz val="10"/>
        <rFont val="Times New Roman"/>
        <family val="1"/>
      </rPr>
      <t>2</t>
    </r>
  </si>
  <si>
    <r>
      <t>m</t>
    </r>
    <r>
      <rPr>
        <vertAlign val="subscript"/>
        <sz val="10"/>
        <rFont val="Times New Roman"/>
        <family val="1"/>
      </rPr>
      <t>p</t>
    </r>
    <r>
      <rPr>
        <sz val="10"/>
        <rFont val="Times New Roman"/>
      </rPr>
      <t xml:space="preserve"> =</t>
    </r>
  </si>
  <si>
    <t>u</t>
  </si>
  <si>
    <r>
      <t>m</t>
    </r>
    <r>
      <rPr>
        <vertAlign val="subscript"/>
        <sz val="10"/>
        <rFont val="Times New Roman"/>
        <family val="1"/>
      </rPr>
      <t>n</t>
    </r>
    <r>
      <rPr>
        <sz val="10"/>
        <rFont val="Times New Roman"/>
      </rPr>
      <t xml:space="preserve"> =</t>
    </r>
  </si>
  <si>
    <r>
      <t>m</t>
    </r>
    <r>
      <rPr>
        <vertAlign val="subscript"/>
        <sz val="10"/>
        <rFont val="Times New Roman"/>
        <family val="1"/>
      </rPr>
      <t>Co-59</t>
    </r>
    <r>
      <rPr>
        <sz val="10"/>
        <rFont val="Times New Roman"/>
      </rPr>
      <t xml:space="preserve"> =</t>
    </r>
  </si>
  <si>
    <r>
      <t>m</t>
    </r>
    <r>
      <rPr>
        <vertAlign val="subscript"/>
        <sz val="10"/>
        <rFont val="Times New Roman"/>
        <family val="1"/>
      </rPr>
      <t>noyau</t>
    </r>
    <r>
      <rPr>
        <sz val="10"/>
        <rFont val="Times New Roman"/>
      </rPr>
      <t xml:space="preserve"> =</t>
    </r>
  </si>
  <si>
    <r>
      <t>D</t>
    </r>
    <r>
      <rPr>
        <sz val="10"/>
        <rFont val="Times New Roman"/>
      </rPr>
      <t>m =</t>
    </r>
  </si>
  <si>
    <t>MeV</t>
  </si>
  <si>
    <r>
      <t>E</t>
    </r>
    <r>
      <rPr>
        <vertAlign val="subscript"/>
        <sz val="10"/>
        <rFont val="Times New Roman"/>
        <family val="1"/>
      </rPr>
      <t>L</t>
    </r>
    <r>
      <rPr>
        <sz val="10"/>
        <rFont val="Times New Roman"/>
      </rPr>
      <t xml:space="preserve"> =</t>
    </r>
  </si>
  <si>
    <r>
      <t>D</t>
    </r>
    <r>
      <rPr>
        <sz val="10"/>
        <rFont val="Times New Roman"/>
      </rPr>
      <t>m.u =</t>
    </r>
  </si>
  <si>
    <t>MeV/nucléon</t>
  </si>
  <si>
    <t>Non, il sont confinés dans la conduite qui fait écran</t>
  </si>
  <si>
    <t>A =</t>
  </si>
  <si>
    <t>MBq</t>
  </si>
  <si>
    <t>E en keV</t>
  </si>
  <si>
    <t>I en %</t>
  </si>
  <si>
    <t>D° en mGy/h</t>
  </si>
  <si>
    <r>
      <t>g</t>
    </r>
    <r>
      <rPr>
        <vertAlign val="subscript"/>
        <sz val="10"/>
        <rFont val="Times New Roman"/>
        <family val="1"/>
      </rPr>
      <t>1</t>
    </r>
  </si>
  <si>
    <r>
      <t>g</t>
    </r>
    <r>
      <rPr>
        <vertAlign val="subscript"/>
        <sz val="10"/>
        <rFont val="Times New Roman"/>
        <family val="1"/>
      </rPr>
      <t>2</t>
    </r>
    <r>
      <rPr>
        <sz val="12"/>
        <rFont val="Times New Roman"/>
        <family val="1"/>
      </rPr>
      <t/>
    </r>
  </si>
  <si>
    <t>à 1 m</t>
  </si>
  <si>
    <t>Description du point chaud</t>
  </si>
  <si>
    <t>2-1-1/</t>
  </si>
  <si>
    <t>2-1-2/</t>
  </si>
  <si>
    <t>2-1-3/</t>
  </si>
  <si>
    <t>2-1-4/</t>
  </si>
  <si>
    <t>2-1-5/</t>
  </si>
  <si>
    <t>2-1-6/</t>
  </si>
  <si>
    <t>Traitement du point chaud</t>
  </si>
  <si>
    <t>pour les 2 chantiers</t>
  </si>
  <si>
    <t>kW</t>
  </si>
  <si>
    <t>kVAr</t>
  </si>
  <si>
    <r>
      <t>S</t>
    </r>
    <r>
      <rPr>
        <vertAlign val="subscript"/>
        <sz val="10"/>
        <rFont val="Times New Roman"/>
        <family val="1"/>
      </rPr>
      <t>t</t>
    </r>
  </si>
  <si>
    <t>H° en mSv/h</t>
  </si>
  <si>
    <t>E (MeV)</t>
  </si>
  <si>
    <r>
      <t>µ (cm</t>
    </r>
    <r>
      <rPr>
        <vertAlign val="superscript"/>
        <sz val="10"/>
        <color indexed="8"/>
        <rFont val="Times New Roman"/>
        <family val="1"/>
      </rPr>
      <t>-1</t>
    </r>
    <r>
      <rPr>
        <sz val="10"/>
        <color indexed="8"/>
        <rFont val="Times New Roman"/>
        <family val="1"/>
      </rPr>
      <t>)</t>
    </r>
  </si>
  <si>
    <t>2-2-1/</t>
  </si>
  <si>
    <t>2-2-2/</t>
  </si>
  <si>
    <t>B =</t>
  </si>
  <si>
    <t>Att =</t>
  </si>
  <si>
    <t>µ =</t>
  </si>
  <si>
    <r>
      <t>cm</t>
    </r>
    <r>
      <rPr>
        <vertAlign val="superscript"/>
        <sz val="10"/>
        <color indexed="8"/>
        <rFont val="Times New Roman"/>
        <family val="1"/>
      </rPr>
      <t>-1</t>
    </r>
  </si>
  <si>
    <t>x =</t>
  </si>
  <si>
    <t>mm</t>
  </si>
  <si>
    <t>cm</t>
  </si>
  <si>
    <t>Le calcul porte sur l'énergie la plus forte envisagée</t>
  </si>
  <si>
    <t>2-2-3/</t>
  </si>
  <si>
    <t>H° =</t>
  </si>
  <si>
    <t>mSv/h</t>
  </si>
  <si>
    <t>à 1 m sans écran</t>
  </si>
  <si>
    <t>à 1 m avec écran</t>
  </si>
  <si>
    <t>à 1,2 m avec écran</t>
  </si>
  <si>
    <t xml:space="preserve">Préparation du lieu d'installation du transformateur d’appoint </t>
  </si>
  <si>
    <t>3/</t>
  </si>
  <si>
    <t>3-1/</t>
  </si>
  <si>
    <t>Installation du transformateur triphasé</t>
  </si>
  <si>
    <t>en 1</t>
  </si>
  <si>
    <t>en 2</t>
  </si>
  <si>
    <t>tension simple</t>
  </si>
  <si>
    <t>nom</t>
  </si>
  <si>
    <t>symbole</t>
  </si>
  <si>
    <t>tension composée</t>
  </si>
  <si>
    <t>U</t>
  </si>
  <si>
    <t>3-1-1/</t>
  </si>
  <si>
    <t>3-1-2/</t>
  </si>
  <si>
    <t xml:space="preserve">U = </t>
  </si>
  <si>
    <t xml:space="preserve">       .V</t>
  </si>
  <si>
    <t>3-1-3/</t>
  </si>
  <si>
    <t>mesure entre 2 phases</t>
  </si>
  <si>
    <t>donc A est une phase</t>
  </si>
  <si>
    <t>A étant une phase</t>
  </si>
  <si>
    <t>D est le fil de neutre</t>
  </si>
  <si>
    <t>3-2/</t>
  </si>
  <si>
    <t>Préparation des déprimogènes</t>
  </si>
  <si>
    <t>déprimogène</t>
  </si>
  <si>
    <t>230 V / 400 V</t>
  </si>
  <si>
    <t>il faut</t>
  </si>
  <si>
    <t>230 V</t>
  </si>
  <si>
    <t>aux bornes d'un enroulement du déprimogène</t>
  </si>
  <si>
    <t>réseau</t>
  </si>
  <si>
    <t>couplage déprimogène en étoile</t>
  </si>
  <si>
    <t>3-2-1/</t>
  </si>
  <si>
    <t>3-2-2/</t>
  </si>
  <si>
    <t>B</t>
  </si>
  <si>
    <t>C</t>
  </si>
  <si>
    <t>D</t>
  </si>
  <si>
    <t>4/</t>
  </si>
  <si>
    <t>Préparation de la découpe d’une branche de la boucle primaire</t>
  </si>
  <si>
    <t>4-1/</t>
  </si>
  <si>
    <r>
      <t>H°</t>
    </r>
    <r>
      <rPr>
        <vertAlign val="subscript"/>
        <sz val="10"/>
        <rFont val="Times New Roman"/>
        <family val="1"/>
      </rPr>
      <t>p</t>
    </r>
    <r>
      <rPr>
        <sz val="10"/>
        <rFont val="Times New Roman"/>
      </rPr>
      <t xml:space="preserve"> =</t>
    </r>
  </si>
  <si>
    <t>µSv/h</t>
  </si>
  <si>
    <r>
      <t>H°</t>
    </r>
    <r>
      <rPr>
        <vertAlign val="subscript"/>
        <sz val="10"/>
        <rFont val="Times New Roman"/>
        <family val="1"/>
      </rPr>
      <t>a</t>
    </r>
    <r>
      <rPr>
        <sz val="10"/>
        <rFont val="Times New Roman"/>
      </rPr>
      <t xml:space="preserve"> =</t>
    </r>
  </si>
  <si>
    <t>du temps</t>
  </si>
  <si>
    <t>E =</t>
  </si>
  <si>
    <r>
      <t>W</t>
    </r>
    <r>
      <rPr>
        <vertAlign val="subscript"/>
        <sz val="10"/>
        <rFont val="Times New Roman"/>
        <family val="1"/>
      </rPr>
      <t>T</t>
    </r>
    <r>
      <rPr>
        <sz val="10"/>
        <rFont val="Times New Roman"/>
      </rPr>
      <t xml:space="preserve"> =</t>
    </r>
  </si>
  <si>
    <t>corps entier</t>
  </si>
  <si>
    <t>t =</t>
  </si>
  <si>
    <t>µSV</t>
  </si>
  <si>
    <t>4-2/</t>
  </si>
  <si>
    <r>
      <t>H°</t>
    </r>
    <r>
      <rPr>
        <sz val="10"/>
        <rFont val="Times New Roman"/>
      </rPr>
      <t xml:space="preserve"> =</t>
    </r>
  </si>
  <si>
    <r>
      <t>C</t>
    </r>
    <r>
      <rPr>
        <vertAlign val="subscript"/>
        <sz val="10"/>
        <rFont val="Times New Roman"/>
        <family val="1"/>
      </rPr>
      <t>expo</t>
    </r>
    <r>
      <rPr>
        <sz val="10"/>
        <rFont val="Times New Roman"/>
      </rPr>
      <t xml:space="preserve"> =</t>
    </r>
  </si>
  <si>
    <t>µSv</t>
  </si>
  <si>
    <t>5/</t>
  </si>
  <si>
    <t>Découpe d’une branche de la boucle primaire</t>
  </si>
  <si>
    <t>5-1/</t>
  </si>
  <si>
    <t>sonomètre</t>
  </si>
  <si>
    <t>5-2/</t>
  </si>
  <si>
    <r>
      <t>I/I</t>
    </r>
    <r>
      <rPr>
        <vertAlign val="subscript"/>
        <sz val="10"/>
        <rFont val="Times New Roman"/>
        <family val="1"/>
      </rPr>
      <t>0</t>
    </r>
    <r>
      <rPr>
        <sz val="10"/>
        <rFont val="Times New Roman"/>
      </rPr>
      <t xml:space="preserve"> =</t>
    </r>
  </si>
  <si>
    <t>L =</t>
  </si>
  <si>
    <t>D =</t>
  </si>
  <si>
    <t>D' =</t>
  </si>
  <si>
    <r>
      <t>I'/I</t>
    </r>
    <r>
      <rPr>
        <vertAlign val="subscript"/>
        <sz val="10"/>
        <rFont val="Times New Roman"/>
        <family val="1"/>
      </rPr>
      <t>0</t>
    </r>
    <r>
      <rPr>
        <sz val="10"/>
        <rFont val="Times New Roman"/>
      </rPr>
      <t xml:space="preserve"> =</t>
    </r>
  </si>
  <si>
    <t>L' =</t>
  </si>
  <si>
    <t>objectif</t>
  </si>
  <si>
    <t>75 dB &lt; L &lt; 80 dB</t>
  </si>
  <si>
    <t>att</t>
  </si>
  <si>
    <t>choix</t>
  </si>
  <si>
    <t>bouchons moulés individualisés</t>
  </si>
  <si>
    <r>
      <t>L</t>
    </r>
    <r>
      <rPr>
        <vertAlign val="subscript"/>
        <sz val="10"/>
        <rFont val="Times New Roman"/>
        <family val="1"/>
      </rPr>
      <t>percu</t>
    </r>
    <r>
      <rPr>
        <sz val="10"/>
        <rFont val="Times New Roman"/>
      </rPr>
      <t xml:space="preserve"> =</t>
    </r>
  </si>
  <si>
    <t>5-1-1/</t>
  </si>
  <si>
    <t>5-1-2/</t>
  </si>
  <si>
    <t>5-1-3/</t>
  </si>
  <si>
    <t>5-1-4/</t>
  </si>
  <si>
    <t>5-1-5/</t>
  </si>
  <si>
    <t>Contexte bruyant</t>
  </si>
  <si>
    <t>Confinement dynamique par déprimogène</t>
  </si>
  <si>
    <t>m/h</t>
  </si>
  <si>
    <t>km/h</t>
  </si>
  <si>
    <t>Pa/m</t>
  </si>
  <si>
    <t>Pa</t>
  </si>
  <si>
    <t>g =</t>
  </si>
  <si>
    <r>
      <t>Q</t>
    </r>
    <r>
      <rPr>
        <vertAlign val="subscript"/>
        <sz val="10"/>
        <rFont val="Times New Roman"/>
        <family val="1"/>
      </rPr>
      <t>V</t>
    </r>
    <r>
      <rPr>
        <sz val="10"/>
        <rFont val="Times New Roman"/>
      </rPr>
      <t xml:space="preserve"> =</t>
    </r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</si>
  <si>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/h</t>
    </r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</si>
  <si>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/s</t>
    </r>
  </si>
  <si>
    <r>
      <t>m</t>
    </r>
    <r>
      <rPr>
        <vertAlign val="superscript"/>
        <sz val="10"/>
        <rFont val="Times New Roman"/>
        <family val="1"/>
      </rPr>
      <t>2</t>
    </r>
  </si>
  <si>
    <t>v =</t>
  </si>
  <si>
    <t>&lt; 350 km/h</t>
  </si>
  <si>
    <t>5-2-1/</t>
  </si>
  <si>
    <r>
      <t>m/s</t>
    </r>
    <r>
      <rPr>
        <vertAlign val="superscript"/>
        <sz val="10"/>
        <rFont val="Times New Roman"/>
        <family val="1"/>
      </rPr>
      <t>2</t>
    </r>
  </si>
  <si>
    <r>
      <rPr>
        <sz val="10"/>
        <rFont val="Symbol"/>
        <family val="1"/>
        <charset val="2"/>
      </rPr>
      <t>r</t>
    </r>
    <r>
      <rPr>
        <sz val="10"/>
        <rFont val="Times New Roman"/>
        <family val="1"/>
      </rPr>
      <t xml:space="preserve"> =</t>
    </r>
  </si>
  <si>
    <r>
      <t>kg/m</t>
    </r>
    <r>
      <rPr>
        <vertAlign val="superscript"/>
        <sz val="10"/>
        <rFont val="Times New Roman"/>
        <family val="1"/>
      </rPr>
      <t>3</t>
    </r>
  </si>
  <si>
    <t>5-2-2/</t>
  </si>
  <si>
    <t>cte</t>
  </si>
  <si>
    <r>
      <t>v</t>
    </r>
    <r>
      <rPr>
        <vertAlign val="subscript"/>
        <sz val="10"/>
        <rFont val="Times New Roman"/>
        <family val="1"/>
      </rPr>
      <t>E</t>
    </r>
    <r>
      <rPr>
        <sz val="10"/>
        <rFont val="Times New Roman"/>
      </rPr>
      <t xml:space="preserve"> =</t>
    </r>
  </si>
  <si>
    <r>
      <t>v</t>
    </r>
    <r>
      <rPr>
        <vertAlign val="subscript"/>
        <sz val="10"/>
        <rFont val="Times New Roman"/>
        <family val="1"/>
      </rPr>
      <t>B</t>
    </r>
  </si>
  <si>
    <r>
      <t>p</t>
    </r>
    <r>
      <rPr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=</t>
    </r>
  </si>
  <si>
    <t>5-2-3/</t>
  </si>
  <si>
    <r>
      <t>z</t>
    </r>
    <r>
      <rPr>
        <vertAlign val="subscript"/>
        <sz val="10"/>
        <rFont val="Times New Roman"/>
        <family val="1"/>
      </rPr>
      <t>E</t>
    </r>
    <r>
      <rPr>
        <sz val="10"/>
        <rFont val="Times New Roman"/>
      </rPr>
      <t xml:space="preserve"> =</t>
    </r>
  </si>
  <si>
    <r>
      <t>z</t>
    </r>
    <r>
      <rPr>
        <vertAlign val="subscript"/>
        <sz val="10"/>
        <rFont val="Times New Roman"/>
        <family val="1"/>
      </rPr>
      <t>B</t>
    </r>
  </si>
  <si>
    <r>
      <t>p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</t>
    </r>
  </si>
  <si>
    <t>5-2-4/</t>
  </si>
  <si>
    <r>
      <t>p</t>
    </r>
    <r>
      <rPr>
        <vertAlign val="subscript"/>
        <sz val="10"/>
        <rFont val="Times New Roman"/>
        <family val="1"/>
      </rPr>
      <t>E</t>
    </r>
    <r>
      <rPr>
        <sz val="10"/>
        <rFont val="Times New Roman"/>
      </rPr>
      <t xml:space="preserve"> =</t>
    </r>
  </si>
  <si>
    <r>
      <t>p</t>
    </r>
    <r>
      <rPr>
        <vertAlign val="subscript"/>
        <sz val="10"/>
        <rFont val="Times New Roman"/>
        <family val="1"/>
      </rPr>
      <t>atm</t>
    </r>
  </si>
  <si>
    <r>
      <t>p</t>
    </r>
    <r>
      <rPr>
        <vertAlign val="subscript"/>
        <sz val="10"/>
        <rFont val="Times New Roman"/>
        <family val="1"/>
      </rPr>
      <t>B</t>
    </r>
    <r>
      <rPr>
        <sz val="10"/>
        <rFont val="Times New Roman"/>
      </rPr>
      <t xml:space="preserve"> =</t>
    </r>
  </si>
  <si>
    <r>
      <t>p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=</t>
    </r>
  </si>
  <si>
    <t>5-2-5/</t>
  </si>
  <si>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p</t>
    </r>
    <r>
      <rPr>
        <vertAlign val="subscript"/>
        <sz val="10"/>
        <rFont val="Times New Roman"/>
        <family val="1"/>
      </rPr>
      <t>gaine</t>
    </r>
    <r>
      <rPr>
        <sz val="10"/>
        <rFont val="Times New Roman"/>
        <family val="1"/>
      </rPr>
      <t xml:space="preserve"> =</t>
    </r>
  </si>
  <si>
    <t>5-2-6/</t>
  </si>
  <si>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h =</t>
    </r>
  </si>
  <si>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p</t>
    </r>
    <r>
      <rPr>
        <vertAlign val="subscript"/>
        <sz val="10"/>
        <rFont val="Times New Roman"/>
        <family val="1"/>
      </rPr>
      <t>filtre</t>
    </r>
    <r>
      <rPr>
        <sz val="10"/>
        <rFont val="Times New Roman"/>
        <family val="1"/>
      </rPr>
      <t xml:space="preserve"> =</t>
    </r>
  </si>
  <si>
    <t>correspond à un filtre trop colmaté</t>
  </si>
  <si>
    <t>donc inefficace dans sa fonction</t>
  </si>
  <si>
    <t>5-2-7/</t>
  </si>
  <si>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p</t>
    </r>
    <r>
      <rPr>
        <vertAlign val="subscript"/>
        <sz val="10"/>
        <rFont val="Times New Roman"/>
        <family val="1"/>
      </rPr>
      <t>total</t>
    </r>
    <r>
      <rPr>
        <sz val="10"/>
        <rFont val="Times New Roman"/>
        <family val="1"/>
      </rPr>
      <t xml:space="preserve"> =</t>
    </r>
  </si>
  <si>
    <r>
      <t>V</t>
    </r>
    <r>
      <rPr>
        <vertAlign val="subscript"/>
        <sz val="10"/>
        <rFont val="Times New Roman"/>
        <family val="1"/>
      </rPr>
      <t>sas</t>
    </r>
    <r>
      <rPr>
        <sz val="10"/>
        <rFont val="Times New Roman"/>
      </rPr>
      <t xml:space="preserve"> =</t>
    </r>
  </si>
  <si>
    <r>
      <t>m</t>
    </r>
    <r>
      <rPr>
        <vertAlign val="superscript"/>
        <sz val="10"/>
        <rFont val="Times New Roman"/>
        <family val="1"/>
      </rPr>
      <t>3</t>
    </r>
  </si>
  <si>
    <t>R =</t>
  </si>
  <si>
    <r>
      <t>A</t>
    </r>
    <r>
      <rPr>
        <vertAlign val="subscript"/>
        <sz val="10"/>
        <rFont val="Times New Roman"/>
        <family val="1"/>
      </rPr>
      <t>0</t>
    </r>
    <r>
      <rPr>
        <sz val="10"/>
        <rFont val="Times New Roman"/>
        <family val="1"/>
      </rPr>
      <t xml:space="preserve"> =</t>
    </r>
  </si>
  <si>
    <t>RCA</t>
  </si>
  <si>
    <t>min</t>
  </si>
  <si>
    <t>6/</t>
  </si>
  <si>
    <t>Analyse des conséquences du colmatage du filtre THE</t>
  </si>
  <si>
    <r>
      <t xml:space="preserve">60 </t>
    </r>
    <r>
      <rPr>
        <sz val="10"/>
        <rFont val="Times New Roman"/>
        <family val="1"/>
      </rPr>
      <t>Co</t>
    </r>
  </si>
  <si>
    <r>
      <t xml:space="preserve">131 </t>
    </r>
    <r>
      <rPr>
        <sz val="10"/>
        <rFont val="Times New Roman"/>
        <family val="1"/>
      </rPr>
      <t>I</t>
    </r>
  </si>
  <si>
    <r>
      <t xml:space="preserve">137 </t>
    </r>
    <r>
      <rPr>
        <sz val="10"/>
        <rFont val="Times New Roman"/>
        <family val="1"/>
      </rPr>
      <t>Cs</t>
    </r>
  </si>
  <si>
    <t>Isotope</t>
  </si>
  <si>
    <t>DPUI</t>
  </si>
  <si>
    <r>
      <t>p</t>
    </r>
    <r>
      <rPr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 xml:space="preserve"> en %</t>
    </r>
  </si>
  <si>
    <t>Sv/Bq</t>
  </si>
  <si>
    <t>6-1/</t>
  </si>
  <si>
    <t>1.RCA</t>
  </si>
  <si>
    <r>
      <t>Bq/m</t>
    </r>
    <r>
      <rPr>
        <vertAlign val="superscript"/>
        <sz val="10"/>
        <rFont val="Times New Roman"/>
        <family val="1"/>
      </rPr>
      <t>3</t>
    </r>
  </si>
  <si>
    <t>6-2/</t>
  </si>
  <si>
    <r>
      <t>1/RCA</t>
    </r>
    <r>
      <rPr>
        <vertAlign val="subscript"/>
        <sz val="10"/>
        <rFont val="Times New Roman"/>
        <family val="1"/>
      </rPr>
      <t>mélange</t>
    </r>
    <r>
      <rPr>
        <sz val="10"/>
        <rFont val="Times New Roman"/>
        <family val="1"/>
      </rPr>
      <t xml:space="preserve"> =</t>
    </r>
  </si>
  <si>
    <t>6-3/</t>
  </si>
  <si>
    <r>
      <t>A</t>
    </r>
    <r>
      <rPr>
        <vertAlign val="subscript"/>
        <sz val="10"/>
        <rFont val="Times New Roman"/>
        <family val="1"/>
      </rPr>
      <t>V total</t>
    </r>
    <r>
      <rPr>
        <sz val="10"/>
        <rFont val="Times New Roman"/>
        <family val="1"/>
      </rPr>
      <t xml:space="preserve"> =</t>
    </r>
  </si>
  <si>
    <r>
      <t>kBq/m</t>
    </r>
    <r>
      <rPr>
        <vertAlign val="superscript"/>
        <sz val="10"/>
        <rFont val="Times New Roman"/>
        <family val="1"/>
      </rPr>
      <t>3</t>
    </r>
  </si>
  <si>
    <t>n.RCA =</t>
  </si>
  <si>
    <r>
      <t>h</t>
    </r>
    <r>
      <rPr>
        <vertAlign val="superscript"/>
        <sz val="10"/>
        <rFont val="Times New Roman"/>
        <family val="1"/>
      </rPr>
      <t>-1</t>
    </r>
  </si>
  <si>
    <t>la contamination volumique a disparu</t>
  </si>
  <si>
    <t>dans le sas, il ne reste plus qu'à se protéger de la contamination surfacique</t>
  </si>
  <si>
    <t>6-4/</t>
  </si>
  <si>
    <t>7/</t>
  </si>
  <si>
    <t>Traitement de la contamination surfacique</t>
  </si>
  <si>
    <r>
      <rPr>
        <sz val="10"/>
        <rFont val="Symbol"/>
        <family val="1"/>
        <charset val="2"/>
      </rPr>
      <t>r</t>
    </r>
    <r>
      <rPr>
        <vertAlign val="subscript"/>
        <sz val="10"/>
        <rFont val="Times New Roman"/>
        <family val="1"/>
      </rPr>
      <t>L</t>
    </r>
    <r>
      <rPr>
        <sz val="10"/>
        <rFont val="Times New Roman"/>
        <family val="1"/>
      </rPr>
      <t xml:space="preserve"> =</t>
    </r>
  </si>
  <si>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p</t>
    </r>
    <r>
      <rPr>
        <vertAlign val="subscript"/>
        <sz val="10"/>
        <rFont val="Times New Roman"/>
        <family val="1"/>
      </rPr>
      <t>ventilateur</t>
    </r>
    <r>
      <rPr>
        <sz val="10"/>
        <rFont val="Times New Roman"/>
        <family val="1"/>
      </rPr>
      <t xml:space="preserve"> =</t>
    </r>
  </si>
  <si>
    <r>
      <t>tracer une droite passant par 1500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/h et 0,015 m</t>
    </r>
    <r>
      <rPr>
        <vertAlign val="superscript"/>
        <sz val="10"/>
        <rFont val="Times New Roman"/>
        <family val="1"/>
      </rPr>
      <t>2</t>
    </r>
  </si>
  <si>
    <r>
      <t>1.RCA</t>
    </r>
    <r>
      <rPr>
        <vertAlign val="subscript"/>
        <sz val="10"/>
        <rFont val="Times New Roman"/>
        <family val="1"/>
      </rPr>
      <t>mélange</t>
    </r>
    <r>
      <rPr>
        <sz val="10"/>
        <rFont val="Times New Roman"/>
        <family val="1"/>
      </rPr>
      <t xml:space="preserve"> =</t>
    </r>
  </si>
  <si>
    <t>Frottis n°</t>
  </si>
  <si>
    <r>
      <t>n</t>
    </r>
    <r>
      <rPr>
        <vertAlign val="subscript"/>
        <sz val="10"/>
        <color indexed="8"/>
        <rFont val="Times New Roman"/>
        <family val="1"/>
      </rPr>
      <t>BdF</t>
    </r>
    <r>
      <rPr>
        <sz val="10"/>
        <color indexed="8"/>
        <rFont val="Times New Roman"/>
        <family val="1"/>
      </rPr>
      <t xml:space="preserve"> en c/s</t>
    </r>
  </si>
  <si>
    <r>
      <t>n</t>
    </r>
    <r>
      <rPr>
        <vertAlign val="subscript"/>
        <sz val="10"/>
        <color indexed="8"/>
        <rFont val="Times New Roman"/>
        <family val="1"/>
      </rPr>
      <t>brute</t>
    </r>
    <r>
      <rPr>
        <sz val="10"/>
        <color indexed="8"/>
        <rFont val="Times New Roman"/>
        <family val="1"/>
      </rPr>
      <t xml:space="preserve"> en c/s</t>
    </r>
  </si>
  <si>
    <r>
      <t>n</t>
    </r>
    <r>
      <rPr>
        <vertAlign val="subscript"/>
        <sz val="10"/>
        <color indexed="8"/>
        <rFont val="Times New Roman"/>
        <family val="1"/>
      </rPr>
      <t>nette</t>
    </r>
    <r>
      <rPr>
        <sz val="10"/>
        <color indexed="8"/>
        <rFont val="Times New Roman"/>
        <family val="1"/>
      </rPr>
      <t xml:space="preserve"> en c/s</t>
    </r>
  </si>
  <si>
    <t>SD</t>
  </si>
  <si>
    <t>n &lt; SD</t>
  </si>
  <si>
    <t>conclusion</t>
  </si>
  <si>
    <t>frottis n°1</t>
  </si>
  <si>
    <t>il faut continuer à décontaminer la zone considérée</t>
  </si>
  <si>
    <t>une contamination surfacique est évidente (les critères SD et LD sont inutiles ici)</t>
  </si>
  <si>
    <t>frottis n°2</t>
  </si>
  <si>
    <t>frottis n°3</t>
  </si>
  <si>
    <t>pas de contamination surfacique a priori ou alors elle est inférieure à 14 c/s</t>
  </si>
  <si>
    <t>SD &lt; n &lt; LD</t>
  </si>
  <si>
    <t>quasi-certitude de présence de contamination surfacique</t>
  </si>
  <si>
    <t>mieux vaut redécontaminer la zone incriminée puis refaire une mesure</t>
  </si>
  <si>
    <t>air = fluide incompressible</t>
  </si>
  <si>
    <t>analyse du barème sur feuille "statistiques"</t>
  </si>
  <si>
    <r>
      <t>P</t>
    </r>
    <r>
      <rPr>
        <vertAlign val="subscript"/>
        <sz val="10"/>
        <rFont val="Times New Roman"/>
        <family val="1"/>
      </rPr>
      <t>vent</t>
    </r>
    <r>
      <rPr>
        <sz val="10"/>
        <rFont val="Times New Roman"/>
        <family val="1"/>
      </rPr>
      <t xml:space="preserve"> =</t>
    </r>
  </si>
  <si>
    <t>m/s</t>
  </si>
  <si>
    <t>mesure entre phase et neutre</t>
  </si>
  <si>
    <t>Si des radioéléments moins pénalisants que le Co-60 sont à l'origne de ce point chaud,</t>
  </si>
  <si>
    <t>Annexe 7</t>
  </si>
  <si>
    <t>Environnement Nucléaire</t>
  </si>
  <si>
    <t xml:space="preserve">U4.1 : Pré-étude et modélisation </t>
  </si>
  <si>
    <t>Durée : 4 heures</t>
  </si>
  <si>
    <t>Corrigé</t>
  </si>
  <si>
    <t>ENE4MOD</t>
  </si>
  <si>
    <t>Page 1 /8</t>
  </si>
  <si>
    <t>Page 2 /8</t>
  </si>
  <si>
    <t>Page 3/8</t>
  </si>
  <si>
    <t>Page 4/8</t>
  </si>
  <si>
    <t>Page 5/8</t>
  </si>
  <si>
    <t>Page 6 / 8</t>
  </si>
  <si>
    <t>Page 7/8</t>
  </si>
  <si>
    <t>Page 8 / 8</t>
  </si>
  <si>
    <t>BTS ENVIRONNEMENT NUCLÉAIRE</t>
  </si>
  <si>
    <t xml:space="preserve">BTS ENVIRONNEMENT NUCLÉAIRE </t>
  </si>
  <si>
    <t>Coefficient : 3</t>
  </si>
  <si>
    <t>Pm =</t>
  </si>
  <si>
    <t>Qm =</t>
  </si>
  <si>
    <t>lecture directe sur annexe 3</t>
  </si>
  <si>
    <t>7 pts</t>
  </si>
  <si>
    <t>CORRIGÉ</t>
  </si>
  <si>
    <t>BREVET DE TECHNICIEN SUPÉRIEUR</t>
  </si>
  <si>
    <t>E4 : MODÉLISATION ET CHOIX TECHNIQUES EN ENVIRONNEMENT NUCLÉAIRE</t>
  </si>
  <si>
    <t>U 4.1 PRÉ ÉTUDE ET MODÉLISATION</t>
  </si>
  <si>
    <t>SESSION 2019</t>
  </si>
  <si>
    <t>Session 2019</t>
  </si>
  <si>
    <t>l'écran sera encore plus efficace</t>
  </si>
  <si>
    <t>énergétique est plus atténuée que la première</t>
  </si>
  <si>
    <t>En réalité, même si le point chaud n'est constitué que de Co-60, la deuxième raie moins</t>
  </si>
  <si>
    <t>Préparation de la mise en service du transformateur et de ses récepteurs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</si>
</sst>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00"/>
    <numFmt numFmtId="167" formatCode="0.0%"/>
    <numFmt numFmtId="168" formatCode="#,##0.0"/>
    <numFmt numFmtId="169" formatCode="0.0E+00"/>
  </numFmts>
  <fonts count="40" x14ac:knownFonts="1">
    <font>
      <sz val="10"/>
      <name val="Times New Roman"/>
    </font>
    <font>
      <sz val="10"/>
      <name val="Symbol"/>
      <family val="1"/>
      <charset val="2"/>
    </font>
    <font>
      <vertAlign val="subscript"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Wingdings 3"/>
      <family val="1"/>
      <charset val="2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vertAlign val="superscript"/>
      <sz val="10"/>
      <color indexed="8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vertAlign val="subscript"/>
      <sz val="10"/>
      <color indexed="8"/>
      <name val="Times New Roman"/>
      <family val="1"/>
    </font>
    <font>
      <sz val="9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0" tint="-0.249977111117893"/>
      <name val="Times New Roman"/>
      <family val="1"/>
    </font>
    <font>
      <b/>
      <sz val="10"/>
      <color rgb="FFFF0000"/>
      <name val="Times New Roman"/>
      <family val="1"/>
    </font>
    <font>
      <sz val="8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0" borderId="1" applyNumberFormat="0" applyAlignment="0" applyProtection="0"/>
    <xf numFmtId="0" fontId="15" fillId="0" borderId="2" applyNumberFormat="0" applyFill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1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22" borderId="8" applyNumberFormat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right"/>
    </xf>
    <xf numFmtId="9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7" fillId="0" borderId="13" xfId="0" applyNumberFormat="1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166" fontId="7" fillId="0" borderId="9" xfId="0" applyNumberFormat="1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6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7" fillId="0" borderId="14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166" fontId="7" fillId="0" borderId="13" xfId="0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166" fontId="8" fillId="0" borderId="0" xfId="0" applyNumberFormat="1" applyFont="1"/>
    <xf numFmtId="0" fontId="0" fillId="0" borderId="15" xfId="0" applyBorder="1" applyAlignment="1">
      <alignment horizontal="right"/>
    </xf>
    <xf numFmtId="0" fontId="0" fillId="0" borderId="15" xfId="0" applyBorder="1"/>
    <xf numFmtId="11" fontId="0" fillId="0" borderId="0" xfId="0" applyNumberFormat="1"/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10" fillId="0" borderId="0" xfId="0" applyFont="1" applyFill="1" applyAlignment="1">
      <alignment horizontal="center"/>
    </xf>
    <xf numFmtId="0" fontId="3" fillId="0" borderId="0" xfId="0" applyFont="1" applyFill="1"/>
    <xf numFmtId="166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0" fillId="0" borderId="0" xfId="0" applyNumberFormat="1"/>
    <xf numFmtId="0" fontId="3" fillId="0" borderId="0" xfId="0" applyFont="1" applyAlignment="1">
      <alignment horizontal="left"/>
    </xf>
    <xf numFmtId="165" fontId="0" fillId="0" borderId="0" xfId="0" applyNumberFormat="1"/>
    <xf numFmtId="166" fontId="0" fillId="0" borderId="0" xfId="0" applyNumberFormat="1"/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9" fontId="3" fillId="0" borderId="14" xfId="0" applyNumberFormat="1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8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168" fontId="0" fillId="0" borderId="0" xfId="0" applyNumberFormat="1" applyFill="1"/>
    <xf numFmtId="3" fontId="0" fillId="0" borderId="0" xfId="0" applyNumberFormat="1" applyFill="1"/>
    <xf numFmtId="165" fontId="0" fillId="0" borderId="0" xfId="0" applyNumberFormat="1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36" fillId="0" borderId="0" xfId="0" applyNumberFormat="1" applyFont="1" applyFill="1" applyBorder="1" applyAlignment="1">
      <alignment horizontal="left" vertical="center"/>
    </xf>
    <xf numFmtId="1" fontId="37" fillId="0" borderId="14" xfId="0" applyNumberFormat="1" applyFont="1" applyBorder="1" applyAlignment="1">
      <alignment horizontal="center"/>
    </xf>
    <xf numFmtId="0" fontId="38" fillId="0" borderId="0" xfId="0" applyFont="1" applyAlignment="1">
      <alignment horizontal="left"/>
    </xf>
    <xf numFmtId="0" fontId="0" fillId="0" borderId="0" xfId="0" applyAlignment="1"/>
    <xf numFmtId="0" fontId="10" fillId="23" borderId="0" xfId="0" applyFont="1" applyFill="1" applyAlignment="1">
      <alignment horizontal="center"/>
    </xf>
    <xf numFmtId="0" fontId="10" fillId="23" borderId="0" xfId="0" applyFont="1" applyFill="1" applyAlignment="1">
      <alignment horizontal="left"/>
    </xf>
    <xf numFmtId="0" fontId="10" fillId="23" borderId="0" xfId="0" applyFont="1" applyFill="1" applyAlignment="1">
      <alignment horizontal="right"/>
    </xf>
    <xf numFmtId="0" fontId="10" fillId="23" borderId="0" xfId="0" applyFont="1" applyFill="1"/>
    <xf numFmtId="164" fontId="0" fillId="0" borderId="0" xfId="0" applyNumberFormat="1" applyAlignment="1">
      <alignment horizontal="right"/>
    </xf>
    <xf numFmtId="167" fontId="3" fillId="0" borderId="14" xfId="0" applyNumberFormat="1" applyFont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/>
    </xf>
    <xf numFmtId="166" fontId="8" fillId="0" borderId="19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7" fillId="0" borderId="19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3</xdr:col>
          <xdr:colOff>228600</xdr:colOff>
          <xdr:row>20</xdr:row>
          <xdr:rowOff>68580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47625</xdr:colOff>
      <xdr:row>34</xdr:row>
      <xdr:rowOff>28575</xdr:rowOff>
    </xdr:from>
    <xdr:to>
      <xdr:col>5</xdr:col>
      <xdr:colOff>28575</xdr:colOff>
      <xdr:row>44</xdr:row>
      <xdr:rowOff>28575</xdr:rowOff>
    </xdr:to>
    <xdr:grpSp>
      <xdr:nvGrpSpPr>
        <xdr:cNvPr id="4566" name="Groupe 4">
          <a:extLst>
            <a:ext uri="{FF2B5EF4-FFF2-40B4-BE49-F238E27FC236}">
              <a16:creationId xmlns:a16="http://schemas.microsoft.com/office/drawing/2014/main" id="{00000000-0008-0000-0300-0000D6110000}"/>
            </a:ext>
          </a:extLst>
        </xdr:cNvPr>
        <xdr:cNvGrpSpPr>
          <a:grpSpLocks/>
        </xdr:cNvGrpSpPr>
      </xdr:nvGrpSpPr>
      <xdr:grpSpPr bwMode="auto">
        <a:xfrm>
          <a:off x="1632585" y="5728335"/>
          <a:ext cx="2358390" cy="1676400"/>
          <a:chOff x="1895475" y="19869150"/>
          <a:chExt cx="2038350" cy="1619250"/>
        </a:xfrm>
      </xdr:grpSpPr>
      <xdr:grpSp>
        <xdr:nvGrpSpPr>
          <xdr:cNvPr id="4567" name="Group 14">
            <a:extLst>
              <a:ext uri="{FF2B5EF4-FFF2-40B4-BE49-F238E27FC236}">
                <a16:creationId xmlns:a16="http://schemas.microsoft.com/office/drawing/2014/main" id="{00000000-0008-0000-0300-0000D7110000}"/>
              </a:ext>
            </a:extLst>
          </xdr:cNvPr>
          <xdr:cNvGrpSpPr>
            <a:grpSpLocks/>
          </xdr:cNvGrpSpPr>
        </xdr:nvGrpSpPr>
        <xdr:grpSpPr bwMode="auto">
          <a:xfrm>
            <a:off x="1895475" y="19869150"/>
            <a:ext cx="2038350" cy="1619250"/>
            <a:chOff x="293" y="2120"/>
            <a:chExt cx="214" cy="170"/>
          </a:xfrm>
        </xdr:grpSpPr>
        <xdr:pic>
          <xdr:nvPicPr>
            <xdr:cNvPr id="4569" name="Image 13" descr="http://fabrice.sincere.free.fr/qcm/image/image4000_1.png">
              <a:extLst>
                <a:ext uri="{FF2B5EF4-FFF2-40B4-BE49-F238E27FC236}">
                  <a16:creationId xmlns:a16="http://schemas.microsoft.com/office/drawing/2014/main" id="{00000000-0008-0000-0300-0000D911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3" y="2120"/>
              <a:ext cx="204" cy="1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570" name="Line 4">
              <a:extLst>
                <a:ext uri="{FF2B5EF4-FFF2-40B4-BE49-F238E27FC236}">
                  <a16:creationId xmlns:a16="http://schemas.microsoft.com/office/drawing/2014/main" id="{00000000-0008-0000-0300-0000DA1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22" y="2205"/>
              <a:ext cx="0" cy="6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71" name="Line 5">
              <a:extLst>
                <a:ext uri="{FF2B5EF4-FFF2-40B4-BE49-F238E27FC236}">
                  <a16:creationId xmlns:a16="http://schemas.microsoft.com/office/drawing/2014/main" id="{00000000-0008-0000-0300-0000DB1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8" y="2205"/>
              <a:ext cx="0" cy="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72" name="Line 6">
              <a:extLst>
                <a:ext uri="{FF2B5EF4-FFF2-40B4-BE49-F238E27FC236}">
                  <a16:creationId xmlns:a16="http://schemas.microsoft.com/office/drawing/2014/main" id="{00000000-0008-0000-0300-0000DC1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4" y="2206"/>
              <a:ext cx="0" cy="2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73" name="Line 7">
              <a:extLst>
                <a:ext uri="{FF2B5EF4-FFF2-40B4-BE49-F238E27FC236}">
                  <a16:creationId xmlns:a16="http://schemas.microsoft.com/office/drawing/2014/main" id="{00000000-0008-0000-0300-0000DD1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6" y="2148"/>
              <a:ext cx="0" cy="14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74" name="Line 8">
              <a:extLst>
                <a:ext uri="{FF2B5EF4-FFF2-40B4-BE49-F238E27FC236}">
                  <a16:creationId xmlns:a16="http://schemas.microsoft.com/office/drawing/2014/main" id="{00000000-0008-0000-0300-0000DE1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5" y="2149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75" name="Oval 9">
              <a:extLst>
                <a:ext uri="{FF2B5EF4-FFF2-40B4-BE49-F238E27FC236}">
                  <a16:creationId xmlns:a16="http://schemas.microsoft.com/office/drawing/2014/main" id="{00000000-0008-0000-0300-0000DF1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3" y="2283"/>
              <a:ext cx="7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4576" name="Oval 10">
              <a:extLst>
                <a:ext uri="{FF2B5EF4-FFF2-40B4-BE49-F238E27FC236}">
                  <a16:creationId xmlns:a16="http://schemas.microsoft.com/office/drawing/2014/main" id="{00000000-0008-0000-0300-0000E01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8" y="2266"/>
              <a:ext cx="7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4577" name="Oval 11">
              <a:extLst>
                <a:ext uri="{FF2B5EF4-FFF2-40B4-BE49-F238E27FC236}">
                  <a16:creationId xmlns:a16="http://schemas.microsoft.com/office/drawing/2014/main" id="{00000000-0008-0000-0300-0000E11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4" y="2249"/>
              <a:ext cx="7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4578" name="Oval 12">
              <a:extLst>
                <a:ext uri="{FF2B5EF4-FFF2-40B4-BE49-F238E27FC236}">
                  <a16:creationId xmlns:a16="http://schemas.microsoft.com/office/drawing/2014/main" id="{00000000-0008-0000-0300-0000E21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" y="2232"/>
              <a:ext cx="7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cxnSp macro="">
        <xdr:nvCxnSpPr>
          <xdr:cNvPr id="4568" name="Connecteur droit 2">
            <a:extLst>
              <a:ext uri="{FF2B5EF4-FFF2-40B4-BE49-F238E27FC236}">
                <a16:creationId xmlns:a16="http://schemas.microsoft.com/office/drawing/2014/main" id="{00000000-0008-0000-0300-0000D811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6463" y="20145375"/>
            <a:ext cx="1076325" cy="4762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38100</xdr:rowOff>
    </xdr:from>
    <xdr:to>
      <xdr:col>7</xdr:col>
      <xdr:colOff>561975</xdr:colOff>
      <xdr:row>45</xdr:row>
      <xdr:rowOff>85725</xdr:rowOff>
    </xdr:to>
    <xdr:grpSp>
      <xdr:nvGrpSpPr>
        <xdr:cNvPr id="8481" name="Groupe 9">
          <a:extLst>
            <a:ext uri="{FF2B5EF4-FFF2-40B4-BE49-F238E27FC236}">
              <a16:creationId xmlns:a16="http://schemas.microsoft.com/office/drawing/2014/main" id="{00000000-0008-0000-0600-000021210000}"/>
            </a:ext>
          </a:extLst>
        </xdr:cNvPr>
        <xdr:cNvGrpSpPr>
          <a:grpSpLocks/>
        </xdr:cNvGrpSpPr>
      </xdr:nvGrpSpPr>
      <xdr:grpSpPr bwMode="auto">
        <a:xfrm>
          <a:off x="57150" y="876300"/>
          <a:ext cx="6052185" cy="6753225"/>
          <a:chOff x="5286073" y="28646756"/>
          <a:chExt cx="5893275" cy="7370139"/>
        </a:xfrm>
      </xdr:grpSpPr>
      <xdr:pic>
        <xdr:nvPicPr>
          <xdr:cNvPr id="8482" name="Image 79">
            <a:extLst>
              <a:ext uri="{FF2B5EF4-FFF2-40B4-BE49-F238E27FC236}">
                <a16:creationId xmlns:a16="http://schemas.microsoft.com/office/drawing/2014/main" id="{00000000-0008-0000-0600-000022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645" y="28646756"/>
            <a:ext cx="5420121" cy="66277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8483" name="Groupe 8">
            <a:extLst>
              <a:ext uri="{FF2B5EF4-FFF2-40B4-BE49-F238E27FC236}">
                <a16:creationId xmlns:a16="http://schemas.microsoft.com/office/drawing/2014/main" id="{00000000-0008-0000-0600-000023210000}"/>
              </a:ext>
            </a:extLst>
          </xdr:cNvPr>
          <xdr:cNvGrpSpPr>
            <a:grpSpLocks/>
          </xdr:cNvGrpSpPr>
        </xdr:nvGrpSpPr>
        <xdr:grpSpPr bwMode="auto">
          <a:xfrm>
            <a:off x="5286073" y="33726699"/>
            <a:ext cx="5893275" cy="2290196"/>
            <a:chOff x="5286073" y="33726699"/>
            <a:chExt cx="5893275" cy="2290196"/>
          </a:xfrm>
        </xdr:grpSpPr>
        <xdr:cxnSp macro="">
          <xdr:nvCxnSpPr>
            <xdr:cNvPr id="5" name="Connecteur droit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CxnSpPr/>
          </xdr:nvCxnSpPr>
          <xdr:spPr bwMode="auto">
            <a:xfrm>
              <a:off x="5286073" y="33725158"/>
              <a:ext cx="5893275" cy="1743011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 bwMode="auto">
            <a:xfrm>
              <a:off x="5571743" y="33735918"/>
              <a:ext cx="740627" cy="26898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8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1 500 m</a:t>
              </a:r>
              <a:r>
                <a:rPr lang="fr-FR" sz="800" baseline="300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3</a:t>
              </a:r>
              <a:r>
                <a:rPr lang="fr-FR" sz="8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/h</a:t>
              </a:r>
            </a:p>
          </xdr:txBody>
        </xdr:sp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 bwMode="auto">
            <a:xfrm>
              <a:off x="7455052" y="34801091"/>
              <a:ext cx="751207" cy="2474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8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0,015 m</a:t>
              </a:r>
              <a:r>
                <a:rPr lang="fr-FR" sz="800" baseline="300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2</a:t>
              </a:r>
              <a:endParaRPr lang="fr-FR" sz="800">
                <a:solidFill>
                  <a:srgbClr val="FF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ZoneTexte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 txBox="1"/>
          </xdr:nvSpPr>
          <xdr:spPr bwMode="auto">
            <a:xfrm>
              <a:off x="10184792" y="35758671"/>
              <a:ext cx="751207" cy="25822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8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(27,9 m/s)</a:t>
              </a:r>
            </a:p>
          </xdr:txBody>
        </xdr:sp>
        <xdr:sp macro="" textlink="">
          <xdr:nvSpPr>
            <xdr:cNvPr id="9" name="ZoneTexte 8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/>
          </xdr:nvSpPr>
          <xdr:spPr bwMode="auto">
            <a:xfrm>
              <a:off x="9655772" y="35252983"/>
              <a:ext cx="761788" cy="2259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800">
                  <a:solidFill>
                    <a:srgbClr val="FF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65 Pa/m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RowColHeaders="0" zoomScaleNormal="100" workbookViewId="0">
      <selection activeCell="I24" sqref="I24"/>
    </sheetView>
  </sheetViews>
  <sheetFormatPr baseColWidth="10" defaultRowHeight="13.2" x14ac:dyDescent="0.25"/>
  <sheetData>
    <row r="1" spans="1:8" ht="22.8" x14ac:dyDescent="0.25">
      <c r="A1" s="107" t="s">
        <v>288</v>
      </c>
      <c r="B1" s="107"/>
      <c r="C1" s="107"/>
      <c r="D1" s="107"/>
      <c r="E1" s="107"/>
      <c r="F1" s="107"/>
      <c r="G1" s="107"/>
      <c r="H1" s="107"/>
    </row>
    <row r="2" spans="1:8" ht="22.8" x14ac:dyDescent="0.25">
      <c r="A2" s="108" t="s">
        <v>267</v>
      </c>
      <c r="B2" s="108"/>
      <c r="C2" s="108"/>
      <c r="D2" s="108"/>
      <c r="E2" s="108"/>
      <c r="F2" s="108"/>
      <c r="G2" s="108"/>
      <c r="H2" s="108"/>
    </row>
    <row r="3" spans="1:8" ht="22.8" x14ac:dyDescent="0.25">
      <c r="A3" s="92"/>
    </row>
    <row r="4" spans="1:8" ht="48" customHeight="1" x14ac:dyDescent="0.25">
      <c r="A4" s="109" t="s">
        <v>289</v>
      </c>
      <c r="B4" s="109"/>
      <c r="C4" s="109"/>
      <c r="D4" s="109"/>
      <c r="E4" s="109"/>
      <c r="F4" s="109"/>
      <c r="G4" s="109"/>
      <c r="H4" s="109"/>
    </row>
    <row r="5" spans="1:8" ht="17.399999999999999" x14ac:dyDescent="0.25">
      <c r="A5" s="93"/>
    </row>
    <row r="6" spans="1:8" ht="17.399999999999999" x14ac:dyDescent="0.25">
      <c r="A6" s="99" t="s">
        <v>268</v>
      </c>
      <c r="B6" s="99"/>
      <c r="C6" s="99"/>
      <c r="D6" s="99"/>
      <c r="E6" s="99"/>
      <c r="F6" s="99"/>
      <c r="G6" s="99"/>
      <c r="H6" s="99"/>
    </row>
    <row r="7" spans="1:8" ht="13.8" x14ac:dyDescent="0.25">
      <c r="A7" s="94"/>
    </row>
    <row r="8" spans="1:8" ht="17.399999999999999" x14ac:dyDescent="0.25">
      <c r="A8" s="99" t="s">
        <v>291</v>
      </c>
      <c r="B8" s="99"/>
      <c r="C8" s="99"/>
      <c r="D8" s="99"/>
      <c r="E8" s="99"/>
      <c r="F8" s="99"/>
      <c r="G8" s="99"/>
      <c r="H8" s="99"/>
    </row>
    <row r="9" spans="1:8" ht="17.399999999999999" x14ac:dyDescent="0.25">
      <c r="A9" s="93"/>
    </row>
    <row r="10" spans="1:8" ht="17.399999999999999" x14ac:dyDescent="0.25">
      <c r="A10" s="99" t="s">
        <v>269</v>
      </c>
      <c r="B10" s="99"/>
      <c r="C10" s="99"/>
      <c r="D10" s="99"/>
      <c r="E10" s="99"/>
      <c r="F10" s="99"/>
      <c r="G10" s="99"/>
      <c r="H10" s="99"/>
    </row>
    <row r="11" spans="1:8" ht="17.399999999999999" x14ac:dyDescent="0.25">
      <c r="A11" s="95"/>
      <c r="D11" s="99" t="s">
        <v>282</v>
      </c>
      <c r="E11" s="99"/>
    </row>
    <row r="12" spans="1:8" ht="13.8" x14ac:dyDescent="0.25">
      <c r="A12" s="95"/>
    </row>
    <row r="13" spans="1:8" ht="99.6" x14ac:dyDescent="0.25">
      <c r="A13" s="100" t="s">
        <v>270</v>
      </c>
      <c r="B13" s="100"/>
      <c r="C13" s="100"/>
      <c r="D13" s="100"/>
      <c r="E13" s="100"/>
      <c r="F13" s="100"/>
      <c r="G13" s="100"/>
      <c r="H13" s="100"/>
    </row>
    <row r="37" spans="1:8" ht="26.4" x14ac:dyDescent="0.25">
      <c r="A37" s="101" t="s">
        <v>280</v>
      </c>
      <c r="B37" s="102"/>
      <c r="C37" s="102"/>
      <c r="D37" s="102"/>
      <c r="E37" s="103"/>
      <c r="F37" s="104" t="s">
        <v>287</v>
      </c>
      <c r="G37" s="105"/>
      <c r="H37" s="96" t="s">
        <v>292</v>
      </c>
    </row>
    <row r="38" spans="1:8" x14ac:dyDescent="0.25">
      <c r="A38" s="106" t="s">
        <v>290</v>
      </c>
      <c r="B38" s="106"/>
      <c r="C38" s="106"/>
      <c r="D38" s="106"/>
      <c r="E38" s="106"/>
      <c r="F38" s="104" t="s">
        <v>271</v>
      </c>
      <c r="G38" s="104"/>
      <c r="H38" s="96" t="s">
        <v>272</v>
      </c>
    </row>
  </sheetData>
  <mergeCells count="12">
    <mergeCell ref="A1:H1"/>
    <mergeCell ref="A2:H2"/>
    <mergeCell ref="A4:H4"/>
    <mergeCell ref="A6:H6"/>
    <mergeCell ref="A8:H8"/>
    <mergeCell ref="A10:H10"/>
    <mergeCell ref="A13:H13"/>
    <mergeCell ref="A37:E37"/>
    <mergeCell ref="F37:G37"/>
    <mergeCell ref="A38:E38"/>
    <mergeCell ref="F38:G38"/>
    <mergeCell ref="D11:E11"/>
  </mergeCells>
  <pageMargins left="0.7" right="0.7" top="0.75" bottom="0.75" header="0.3" footer="0.3"/>
  <pageSetup paperSize="9" orientation="portrait" r:id="rId1"/>
  <headerFooter>
    <oddFooter xml:space="preserve">&amp;R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zoomScaleNormal="100" workbookViewId="0">
      <selection activeCell="A4" sqref="A4:A37"/>
    </sheetView>
  </sheetViews>
  <sheetFormatPr baseColWidth="10" defaultRowHeight="13.2" x14ac:dyDescent="0.25"/>
  <sheetData>
    <row r="1" spans="1:7" x14ac:dyDescent="0.25">
      <c r="A1" s="84"/>
      <c r="B1" s="83" t="s">
        <v>261</v>
      </c>
      <c r="C1" s="72"/>
      <c r="D1" s="2"/>
    </row>
    <row r="2" spans="1:7" x14ac:dyDescent="0.25">
      <c r="A2" s="85" t="s">
        <v>4</v>
      </c>
      <c r="B2" s="86" t="s">
        <v>3</v>
      </c>
      <c r="C2" s="86"/>
      <c r="D2" s="87"/>
      <c r="E2" s="88"/>
      <c r="F2" s="88"/>
      <c r="G2" s="88"/>
    </row>
    <row r="3" spans="1:7" x14ac:dyDescent="0.25">
      <c r="A3" s="1"/>
      <c r="B3" s="72" t="s">
        <v>5</v>
      </c>
      <c r="C3" s="72"/>
      <c r="D3" s="2" t="s">
        <v>6</v>
      </c>
      <c r="E3">
        <v>400</v>
      </c>
      <c r="F3" t="s">
        <v>7</v>
      </c>
    </row>
    <row r="4" spans="1:7" x14ac:dyDescent="0.25">
      <c r="A4" s="1"/>
      <c r="B4" s="72"/>
      <c r="C4" s="72"/>
      <c r="D4" s="2" t="s">
        <v>8</v>
      </c>
      <c r="E4">
        <v>3.3</v>
      </c>
      <c r="F4" t="s">
        <v>12</v>
      </c>
    </row>
    <row r="5" spans="1:7" x14ac:dyDescent="0.25">
      <c r="A5" s="1"/>
      <c r="B5" s="72"/>
      <c r="C5" s="72"/>
      <c r="D5" s="2" t="s">
        <v>9</v>
      </c>
      <c r="E5">
        <v>0.83</v>
      </c>
    </row>
    <row r="6" spans="1:7" ht="15.6" x14ac:dyDescent="0.35">
      <c r="A6" s="1"/>
      <c r="B6" s="72"/>
      <c r="C6" s="72"/>
      <c r="D6" s="2" t="s">
        <v>10</v>
      </c>
      <c r="E6" s="3">
        <f>SQRT(3)*E3*E4*E5</f>
        <v>1897.6348647724615</v>
      </c>
      <c r="F6" t="s">
        <v>11</v>
      </c>
    </row>
    <row r="7" spans="1:7" x14ac:dyDescent="0.25">
      <c r="A7" s="1"/>
      <c r="B7" s="72"/>
      <c r="C7" s="72"/>
      <c r="D7" s="2"/>
      <c r="E7" s="3"/>
    </row>
    <row r="8" spans="1:7" x14ac:dyDescent="0.25">
      <c r="A8" s="1"/>
      <c r="B8" s="72"/>
      <c r="C8" s="72"/>
      <c r="D8" s="2" t="s">
        <v>14</v>
      </c>
      <c r="E8" s="4">
        <f>SIN(ACOS(E5))</f>
        <v>0.55776339069537373</v>
      </c>
    </row>
    <row r="9" spans="1:7" ht="15.6" x14ac:dyDescent="0.35">
      <c r="A9" s="1"/>
      <c r="B9" s="72"/>
      <c r="C9" s="72"/>
      <c r="D9" s="2" t="s">
        <v>13</v>
      </c>
      <c r="E9" s="3">
        <f>SQRT(3)*E3*E4*E8</f>
        <v>1275.2183812978858</v>
      </c>
      <c r="F9" t="s">
        <v>15</v>
      </c>
    </row>
    <row r="10" spans="1:7" x14ac:dyDescent="0.25">
      <c r="A10" s="1"/>
      <c r="B10" s="72"/>
      <c r="C10" s="72"/>
      <c r="D10" s="2"/>
    </row>
    <row r="11" spans="1:7" ht="15.6" x14ac:dyDescent="0.35">
      <c r="A11" s="1"/>
      <c r="B11" s="72" t="s">
        <v>16</v>
      </c>
      <c r="C11" s="72"/>
      <c r="D11" s="2" t="s">
        <v>17</v>
      </c>
      <c r="E11" s="3">
        <v>1500</v>
      </c>
      <c r="F11" t="s">
        <v>11</v>
      </c>
    </row>
    <row r="12" spans="1:7" x14ac:dyDescent="0.25">
      <c r="A12" s="1"/>
      <c r="B12" s="72"/>
      <c r="C12" s="72"/>
      <c r="D12" s="5" t="s">
        <v>18</v>
      </c>
      <c r="E12" s="6">
        <f>E11/E6</f>
        <v>0.79045765223114173</v>
      </c>
    </row>
    <row r="13" spans="1:7" x14ac:dyDescent="0.25">
      <c r="A13" s="1"/>
      <c r="B13" s="72"/>
      <c r="C13" s="72"/>
      <c r="D13" s="2"/>
    </row>
    <row r="14" spans="1:7" x14ac:dyDescent="0.25">
      <c r="A14" s="1"/>
      <c r="B14" s="72" t="s">
        <v>19</v>
      </c>
      <c r="C14" s="72"/>
      <c r="D14" s="2" t="s">
        <v>6</v>
      </c>
      <c r="E14">
        <v>400</v>
      </c>
      <c r="F14" t="s">
        <v>7</v>
      </c>
    </row>
    <row r="15" spans="1:7" x14ac:dyDescent="0.25">
      <c r="A15" s="1"/>
      <c r="B15" s="72"/>
      <c r="C15" s="72"/>
      <c r="D15" s="2" t="s">
        <v>9</v>
      </c>
      <c r="E15">
        <v>0.92</v>
      </c>
    </row>
    <row r="16" spans="1:7" x14ac:dyDescent="0.25">
      <c r="A16" s="1"/>
      <c r="B16" s="72"/>
      <c r="C16" s="72"/>
      <c r="D16" s="2" t="s">
        <v>283</v>
      </c>
      <c r="E16" s="3">
        <v>55000</v>
      </c>
      <c r="F16" t="s">
        <v>11</v>
      </c>
      <c r="G16" t="s">
        <v>285</v>
      </c>
    </row>
    <row r="17" spans="1:6" x14ac:dyDescent="0.25">
      <c r="A17" s="1"/>
      <c r="B17" s="72"/>
      <c r="C17" s="72"/>
      <c r="D17" s="2"/>
      <c r="E17" s="3"/>
    </row>
    <row r="18" spans="1:6" x14ac:dyDescent="0.25">
      <c r="A18" s="1"/>
      <c r="B18" s="72"/>
      <c r="C18" s="72"/>
      <c r="D18" s="2" t="s">
        <v>20</v>
      </c>
      <c r="E18" s="4">
        <f>TAN(ACOS(E15))</f>
        <v>0.42599821613620459</v>
      </c>
    </row>
    <row r="19" spans="1:6" x14ac:dyDescent="0.25">
      <c r="A19" s="1"/>
      <c r="B19" s="72"/>
      <c r="C19" s="72"/>
      <c r="D19" s="2" t="s">
        <v>284</v>
      </c>
      <c r="E19" s="3">
        <f>E16*E18</f>
        <v>23429.901887491251</v>
      </c>
      <c r="F19" t="s">
        <v>15</v>
      </c>
    </row>
    <row r="20" spans="1:6" x14ac:dyDescent="0.25">
      <c r="A20" s="1"/>
      <c r="B20" s="72"/>
      <c r="C20" s="72"/>
      <c r="D20" s="2"/>
    </row>
    <row r="21" spans="1:6" x14ac:dyDescent="0.25">
      <c r="A21" s="1"/>
      <c r="B21" s="72" t="s">
        <v>21</v>
      </c>
      <c r="C21" s="72"/>
      <c r="D21" s="2" t="s">
        <v>9</v>
      </c>
      <c r="E21">
        <v>1</v>
      </c>
    </row>
    <row r="22" spans="1:6" ht="15.6" x14ac:dyDescent="0.35">
      <c r="A22" s="1"/>
      <c r="B22" s="72"/>
      <c r="C22" s="72"/>
      <c r="D22" s="2" t="s">
        <v>22</v>
      </c>
      <c r="E22" s="3">
        <v>1000</v>
      </c>
      <c r="F22" t="s">
        <v>11</v>
      </c>
    </row>
    <row r="23" spans="1:6" x14ac:dyDescent="0.25">
      <c r="A23" s="1"/>
      <c r="B23" s="72"/>
      <c r="C23" s="72"/>
      <c r="D23" s="2"/>
      <c r="E23" s="3"/>
    </row>
    <row r="24" spans="1:6" x14ac:dyDescent="0.25">
      <c r="A24" s="1"/>
      <c r="B24" s="72"/>
      <c r="C24" s="72"/>
      <c r="D24" s="2" t="s">
        <v>20</v>
      </c>
      <c r="E24" s="4">
        <f>TAN(ACOS(E21))</f>
        <v>0</v>
      </c>
    </row>
    <row r="25" spans="1:6" ht="15.6" x14ac:dyDescent="0.35">
      <c r="A25" s="1"/>
      <c r="B25" s="72"/>
      <c r="C25" s="72"/>
      <c r="D25" s="2" t="s">
        <v>23</v>
      </c>
      <c r="E25" s="3">
        <f>E22*E24</f>
        <v>0</v>
      </c>
      <c r="F25" t="s">
        <v>15</v>
      </c>
    </row>
    <row r="26" spans="1:6" x14ac:dyDescent="0.25">
      <c r="A26" s="1"/>
      <c r="B26" s="72"/>
      <c r="C26" s="72"/>
      <c r="D26" s="2"/>
      <c r="E26" s="3"/>
    </row>
    <row r="27" spans="1:6" x14ac:dyDescent="0.25">
      <c r="A27" s="1"/>
      <c r="B27" s="72" t="s">
        <v>24</v>
      </c>
      <c r="C27" s="72"/>
      <c r="D27" s="7" t="s">
        <v>75</v>
      </c>
    </row>
    <row r="28" spans="1:6" ht="15.6" x14ac:dyDescent="0.35">
      <c r="A28" s="1"/>
      <c r="B28" s="72"/>
      <c r="C28" s="72"/>
      <c r="D28" s="2" t="s">
        <v>25</v>
      </c>
      <c r="E28" s="3">
        <f>2*(E6+E16+E22)/1000</f>
        <v>115.79526972954491</v>
      </c>
      <c r="F28" t="s">
        <v>76</v>
      </c>
    </row>
    <row r="29" spans="1:6" ht="15.6" x14ac:dyDescent="0.35">
      <c r="A29" s="1"/>
      <c r="B29" s="72"/>
      <c r="C29" s="72"/>
      <c r="D29" s="2" t="s">
        <v>26</v>
      </c>
      <c r="E29" s="3">
        <f>2*(E9+E19+E25)/1000</f>
        <v>49.410240537578275</v>
      </c>
      <c r="F29" t="s">
        <v>77</v>
      </c>
    </row>
    <row r="30" spans="1:6" ht="15.6" x14ac:dyDescent="0.35">
      <c r="A30" s="1"/>
      <c r="B30" s="72"/>
      <c r="C30" s="72"/>
      <c r="D30" s="2" t="s">
        <v>28</v>
      </c>
      <c r="E30" s="3">
        <f>SQRT(E28^2+E29^2)</f>
        <v>125.89645094965705</v>
      </c>
      <c r="F30" t="s">
        <v>30</v>
      </c>
    </row>
    <row r="31" spans="1:6" x14ac:dyDescent="0.25">
      <c r="A31" s="1"/>
      <c r="B31" s="72"/>
      <c r="C31" s="72"/>
      <c r="D31" s="2"/>
    </row>
    <row r="32" spans="1:6" x14ac:dyDescent="0.25">
      <c r="A32" s="1"/>
      <c r="B32" s="72" t="s">
        <v>27</v>
      </c>
      <c r="C32" s="72"/>
      <c r="D32" s="2" t="s">
        <v>29</v>
      </c>
      <c r="E32">
        <v>400</v>
      </c>
      <c r="F32" t="s">
        <v>30</v>
      </c>
    </row>
    <row r="33" spans="1:8" x14ac:dyDescent="0.25">
      <c r="A33" s="1"/>
      <c r="B33" s="72"/>
      <c r="C33" s="72"/>
      <c r="D33" s="7" t="s">
        <v>31</v>
      </c>
    </row>
    <row r="34" spans="1:8" x14ac:dyDescent="0.25">
      <c r="A34" s="1"/>
      <c r="B34" s="72"/>
      <c r="C34" s="72"/>
      <c r="D34" s="7"/>
      <c r="E34" s="6">
        <v>0.6</v>
      </c>
    </row>
    <row r="35" spans="1:8" x14ac:dyDescent="0.25">
      <c r="A35" s="1"/>
      <c r="B35" s="72"/>
      <c r="C35" s="72"/>
      <c r="D35" s="7"/>
      <c r="E35">
        <v>1.5</v>
      </c>
    </row>
    <row r="36" spans="1:8" ht="15.6" x14ac:dyDescent="0.35">
      <c r="A36" s="1"/>
      <c r="B36" s="72"/>
      <c r="C36" s="72"/>
      <c r="D36" s="2" t="s">
        <v>32</v>
      </c>
      <c r="E36" s="3">
        <f>E32*E34/E35</f>
        <v>160</v>
      </c>
      <c r="F36" t="s">
        <v>30</v>
      </c>
    </row>
    <row r="37" spans="1:8" ht="15.6" x14ac:dyDescent="0.35">
      <c r="A37" s="1"/>
      <c r="B37" s="72"/>
      <c r="C37" s="72"/>
      <c r="D37" s="2" t="s">
        <v>78</v>
      </c>
      <c r="E37" s="1" t="s">
        <v>33</v>
      </c>
      <c r="F37" s="7" t="s">
        <v>34</v>
      </c>
    </row>
    <row r="38" spans="1:8" x14ac:dyDescent="0.25">
      <c r="A38" s="1"/>
      <c r="B38" s="72"/>
      <c r="C38" s="72"/>
      <c r="D38" s="7" t="s">
        <v>35</v>
      </c>
    </row>
    <row r="39" spans="1:8" x14ac:dyDescent="0.25">
      <c r="A39" s="1"/>
      <c r="B39" s="72"/>
      <c r="C39" s="72"/>
      <c r="D39" s="7"/>
    </row>
    <row r="40" spans="1:8" x14ac:dyDescent="0.25">
      <c r="A40" s="1"/>
      <c r="B40" s="72"/>
      <c r="C40" s="72"/>
      <c r="D40" s="7"/>
    </row>
    <row r="41" spans="1:8" x14ac:dyDescent="0.25">
      <c r="A41" s="1"/>
      <c r="B41" s="72"/>
      <c r="C41" s="72"/>
      <c r="D41" s="7"/>
    </row>
    <row r="42" spans="1:8" x14ac:dyDescent="0.25">
      <c r="A42" s="1"/>
      <c r="B42" s="72"/>
      <c r="C42" s="72"/>
      <c r="D42" s="7"/>
    </row>
    <row r="43" spans="1:8" ht="51" customHeight="1" x14ac:dyDescent="0.25">
      <c r="D43" s="7"/>
    </row>
    <row r="44" spans="1:8" x14ac:dyDescent="0.25">
      <c r="D44" s="7"/>
    </row>
    <row r="45" spans="1:8" ht="26.25" customHeight="1" x14ac:dyDescent="0.25">
      <c r="A45" s="101" t="s">
        <v>281</v>
      </c>
      <c r="B45" s="102"/>
      <c r="C45" s="102"/>
      <c r="D45" s="102"/>
      <c r="E45" s="103"/>
      <c r="F45" s="104" t="s">
        <v>287</v>
      </c>
      <c r="G45" s="104"/>
      <c r="H45" s="96" t="s">
        <v>292</v>
      </c>
    </row>
    <row r="46" spans="1:8" x14ac:dyDescent="0.25">
      <c r="A46" s="106" t="s">
        <v>290</v>
      </c>
      <c r="B46" s="106"/>
      <c r="C46" s="106"/>
      <c r="D46" s="106"/>
      <c r="E46" s="106"/>
      <c r="F46" s="104" t="s">
        <v>271</v>
      </c>
      <c r="G46" s="104"/>
      <c r="H46" s="96" t="s">
        <v>273</v>
      </c>
    </row>
    <row r="47" spans="1:8" x14ac:dyDescent="0.25">
      <c r="A47" s="1"/>
      <c r="B47" s="72"/>
      <c r="C47" s="72"/>
      <c r="D47" s="7"/>
    </row>
    <row r="48" spans="1:8" x14ac:dyDescent="0.25">
      <c r="A48" s="1"/>
      <c r="B48" s="72"/>
      <c r="C48" s="72"/>
      <c r="D48" s="7"/>
    </row>
    <row r="49" spans="1:4" x14ac:dyDescent="0.25">
      <c r="A49" s="1"/>
      <c r="B49" s="72"/>
      <c r="C49" s="72"/>
      <c r="D49" s="7"/>
    </row>
    <row r="50" spans="1:4" x14ac:dyDescent="0.25">
      <c r="A50" s="1"/>
      <c r="B50" s="72"/>
      <c r="C50" s="72"/>
      <c r="D50" s="7"/>
    </row>
    <row r="51" spans="1:4" x14ac:dyDescent="0.25">
      <c r="A51" s="1"/>
      <c r="B51" s="72"/>
      <c r="C51" s="72"/>
      <c r="D51" s="7"/>
    </row>
    <row r="52" spans="1:4" x14ac:dyDescent="0.25">
      <c r="A52" s="1"/>
      <c r="B52" s="72"/>
      <c r="C52" s="72"/>
      <c r="D52" s="2"/>
    </row>
    <row r="53" spans="1:4" x14ac:dyDescent="0.25">
      <c r="A53" s="1"/>
      <c r="B53" s="72"/>
      <c r="C53" s="72"/>
      <c r="D53" s="2"/>
    </row>
  </sheetData>
  <mergeCells count="4">
    <mergeCell ref="A45:E45"/>
    <mergeCell ref="A46:E46"/>
    <mergeCell ref="F46:G46"/>
    <mergeCell ref="F45:G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zoomScaleNormal="100" workbookViewId="0">
      <selection activeCell="G3" sqref="G3"/>
    </sheetView>
  </sheetViews>
  <sheetFormatPr baseColWidth="10" defaultRowHeight="13.2" x14ac:dyDescent="0.25"/>
  <sheetData>
    <row r="1" spans="1:7" x14ac:dyDescent="0.25">
      <c r="A1" s="85" t="s">
        <v>36</v>
      </c>
      <c r="B1" s="86" t="s">
        <v>98</v>
      </c>
      <c r="C1" s="86"/>
      <c r="D1" s="87"/>
      <c r="E1" s="88"/>
      <c r="F1" s="88"/>
      <c r="G1" s="88"/>
    </row>
    <row r="2" spans="1:7" x14ac:dyDescent="0.25">
      <c r="B2" s="73"/>
      <c r="C2" s="73"/>
    </row>
    <row r="3" spans="1:7" x14ac:dyDescent="0.25">
      <c r="A3" s="1"/>
      <c r="B3" s="85" t="s">
        <v>37</v>
      </c>
      <c r="C3" s="86" t="s">
        <v>67</v>
      </c>
      <c r="D3" s="87"/>
      <c r="E3" s="88"/>
      <c r="F3" s="88"/>
      <c r="G3" s="88"/>
    </row>
    <row r="4" spans="1:7" ht="16.8" x14ac:dyDescent="0.35">
      <c r="A4" s="1"/>
      <c r="B4" s="72"/>
      <c r="C4" s="72" t="s">
        <v>68</v>
      </c>
      <c r="D4" s="9" t="s">
        <v>38</v>
      </c>
    </row>
    <row r="5" spans="1:7" x14ac:dyDescent="0.25">
      <c r="A5" s="1"/>
      <c r="B5" s="72"/>
      <c r="C5" s="72"/>
      <c r="D5" s="2"/>
      <c r="E5">
        <v>27</v>
      </c>
      <c r="F5" t="s">
        <v>39</v>
      </c>
    </row>
    <row r="6" spans="1:7" x14ac:dyDescent="0.25">
      <c r="A6" s="1"/>
      <c r="B6" s="72"/>
      <c r="C6" s="72"/>
      <c r="D6" s="2"/>
      <c r="E6">
        <v>59</v>
      </c>
      <c r="F6" t="s">
        <v>40</v>
      </c>
    </row>
    <row r="7" spans="1:7" x14ac:dyDescent="0.25">
      <c r="A7" s="1"/>
      <c r="B7" s="72"/>
      <c r="C7" s="72"/>
      <c r="D7" s="2"/>
      <c r="E7">
        <f>E6-E5</f>
        <v>32</v>
      </c>
      <c r="F7" t="s">
        <v>41</v>
      </c>
    </row>
    <row r="8" spans="1:7" x14ac:dyDescent="0.25">
      <c r="A8" s="1"/>
      <c r="B8" s="72"/>
      <c r="C8" s="72"/>
      <c r="D8" s="2"/>
    </row>
    <row r="9" spans="1:7" ht="16.8" x14ac:dyDescent="0.35">
      <c r="A9" s="1"/>
      <c r="B9" s="72"/>
      <c r="C9" s="72" t="s">
        <v>69</v>
      </c>
      <c r="D9" s="9" t="s">
        <v>44</v>
      </c>
      <c r="E9" s="10" t="s">
        <v>43</v>
      </c>
      <c r="F9" s="11" t="s">
        <v>45</v>
      </c>
    </row>
    <row r="10" spans="1:7" x14ac:dyDescent="0.25">
      <c r="A10" s="1"/>
      <c r="B10" s="72"/>
      <c r="C10" s="72"/>
      <c r="D10" s="2"/>
    </row>
    <row r="11" spans="1:7" ht="15.6" x14ac:dyDescent="0.25">
      <c r="A11" s="1"/>
      <c r="B11" s="72"/>
      <c r="C11" s="72" t="s">
        <v>70</v>
      </c>
      <c r="D11" s="2" t="s">
        <v>46</v>
      </c>
      <c r="E11">
        <v>931.5</v>
      </c>
      <c r="F11" t="s">
        <v>47</v>
      </c>
    </row>
    <row r="12" spans="1:7" ht="15.6" x14ac:dyDescent="0.35">
      <c r="A12" s="1"/>
      <c r="B12" s="72"/>
      <c r="C12" s="72"/>
      <c r="D12" s="2" t="s">
        <v>48</v>
      </c>
      <c r="E12">
        <v>1.007277</v>
      </c>
      <c r="F12" t="s">
        <v>49</v>
      </c>
    </row>
    <row r="13" spans="1:7" ht="15.6" x14ac:dyDescent="0.35">
      <c r="A13" s="1"/>
      <c r="B13" s="72"/>
      <c r="C13" s="72"/>
      <c r="D13" s="2" t="s">
        <v>50</v>
      </c>
      <c r="E13">
        <v>1.0086649999999999</v>
      </c>
      <c r="F13" t="s">
        <v>49</v>
      </c>
    </row>
    <row r="14" spans="1:7" ht="15.6" x14ac:dyDescent="0.35">
      <c r="A14" s="1"/>
      <c r="B14" s="72"/>
      <c r="C14" s="72"/>
      <c r="D14" s="2" t="s">
        <v>51</v>
      </c>
      <c r="E14">
        <v>58.933190000000003</v>
      </c>
      <c r="F14" t="s">
        <v>49</v>
      </c>
    </row>
    <row r="15" spans="1:7" x14ac:dyDescent="0.25">
      <c r="A15" s="1"/>
      <c r="B15" s="72"/>
      <c r="C15" s="72"/>
      <c r="D15" s="2"/>
    </row>
    <row r="16" spans="1:7" ht="15.6" x14ac:dyDescent="0.35">
      <c r="A16" s="1"/>
      <c r="B16" s="72"/>
      <c r="C16" s="72"/>
      <c r="D16" s="2" t="s">
        <v>52</v>
      </c>
      <c r="E16">
        <f>E12*E5+E13*E7</f>
        <v>59.473759000000001</v>
      </c>
      <c r="F16" t="s">
        <v>49</v>
      </c>
    </row>
    <row r="17" spans="1:8" x14ac:dyDescent="0.25">
      <c r="A17" s="1"/>
      <c r="B17" s="72"/>
      <c r="C17" s="72"/>
      <c r="D17" s="5" t="s">
        <v>56</v>
      </c>
      <c r="E17">
        <f>E16-E14</f>
        <v>0.54056899999999786</v>
      </c>
      <c r="F17" t="s">
        <v>49</v>
      </c>
    </row>
    <row r="18" spans="1:8" x14ac:dyDescent="0.25">
      <c r="A18" s="1"/>
      <c r="B18" s="72"/>
      <c r="C18" s="72"/>
      <c r="D18" s="2"/>
    </row>
    <row r="19" spans="1:8" x14ac:dyDescent="0.25">
      <c r="A19" s="1"/>
      <c r="B19" s="72"/>
      <c r="C19" s="72" t="s">
        <v>71</v>
      </c>
      <c r="D19" s="5" t="s">
        <v>53</v>
      </c>
      <c r="E19" s="8">
        <f>E17*E11</f>
        <v>503.54002349999803</v>
      </c>
      <c r="F19" t="s">
        <v>54</v>
      </c>
    </row>
    <row r="20" spans="1:8" ht="15.6" x14ac:dyDescent="0.35">
      <c r="A20" s="1"/>
      <c r="B20" s="72"/>
      <c r="C20" s="72"/>
      <c r="D20" s="2" t="s">
        <v>55</v>
      </c>
      <c r="E20" s="4">
        <f>E19/E6</f>
        <v>8.5345766694914929</v>
      </c>
      <c r="F20" t="s">
        <v>57</v>
      </c>
    </row>
    <row r="21" spans="1:8" x14ac:dyDescent="0.25">
      <c r="A21" s="1"/>
      <c r="B21" s="72"/>
      <c r="C21" s="72"/>
      <c r="D21" s="2"/>
    </row>
    <row r="22" spans="1:8" x14ac:dyDescent="0.25">
      <c r="A22" s="1"/>
      <c r="B22" s="72"/>
      <c r="C22" s="72" t="s">
        <v>72</v>
      </c>
      <c r="D22" s="7" t="s">
        <v>58</v>
      </c>
    </row>
    <row r="23" spans="1:8" x14ac:dyDescent="0.25">
      <c r="A23" s="1"/>
      <c r="B23" s="72"/>
      <c r="C23" s="72"/>
      <c r="D23" s="2"/>
    </row>
    <row r="24" spans="1:8" x14ac:dyDescent="0.25">
      <c r="A24" s="1"/>
      <c r="B24" s="72"/>
      <c r="C24" s="72" t="s">
        <v>73</v>
      </c>
      <c r="D24" s="12" t="s">
        <v>59</v>
      </c>
      <c r="E24" s="13">
        <v>300</v>
      </c>
      <c r="F24" s="14" t="s">
        <v>60</v>
      </c>
      <c r="G24" s="13"/>
      <c r="H24" s="13"/>
    </row>
    <row r="25" spans="1:8" x14ac:dyDescent="0.25">
      <c r="A25" s="1"/>
      <c r="B25" s="72"/>
      <c r="C25" s="72"/>
      <c r="D25" s="12"/>
      <c r="E25" s="14"/>
      <c r="F25" s="14"/>
      <c r="G25" s="13"/>
      <c r="H25" s="13"/>
    </row>
    <row r="26" spans="1:8" ht="16.2" x14ac:dyDescent="0.35">
      <c r="A26" s="1"/>
      <c r="B26" s="72"/>
      <c r="C26" s="72"/>
      <c r="D26" s="12"/>
      <c r="E26" s="15" t="s">
        <v>64</v>
      </c>
      <c r="F26" s="16" t="s">
        <v>65</v>
      </c>
      <c r="G26" s="13"/>
      <c r="H26" s="13"/>
    </row>
    <row r="27" spans="1:8" x14ac:dyDescent="0.25">
      <c r="A27" s="1"/>
      <c r="B27" s="72"/>
      <c r="C27" s="72"/>
      <c r="D27" s="17" t="s">
        <v>61</v>
      </c>
      <c r="E27" s="25">
        <v>1173</v>
      </c>
      <c r="F27" s="26">
        <v>1333</v>
      </c>
      <c r="G27" s="13"/>
      <c r="H27" s="13"/>
    </row>
    <row r="28" spans="1:8" x14ac:dyDescent="0.25">
      <c r="A28" s="1"/>
      <c r="B28" s="72"/>
      <c r="C28" s="72"/>
      <c r="D28" s="19" t="s">
        <v>62</v>
      </c>
      <c r="E28" s="20">
        <v>1</v>
      </c>
      <c r="F28" s="20">
        <v>1</v>
      </c>
      <c r="G28" s="13"/>
      <c r="H28" s="13"/>
    </row>
    <row r="29" spans="1:8" x14ac:dyDescent="0.25">
      <c r="A29" s="1"/>
      <c r="B29" s="72"/>
      <c r="C29" s="72"/>
      <c r="D29" s="21" t="s">
        <v>63</v>
      </c>
      <c r="E29" s="22">
        <f>0.00000000013*$E24*1000000*E27/1000*E28</f>
        <v>4.5747000000000003E-2</v>
      </c>
      <c r="F29" s="22">
        <f>0.00000000013*$E24*1000000*F27/1000*F28</f>
        <v>5.1986999999999998E-2</v>
      </c>
      <c r="G29" s="13"/>
      <c r="H29" s="13"/>
    </row>
    <row r="30" spans="1:8" x14ac:dyDescent="0.25">
      <c r="A30" s="1"/>
      <c r="B30" s="72"/>
      <c r="C30" s="72"/>
      <c r="D30" s="23" t="s">
        <v>66</v>
      </c>
      <c r="E30" s="110">
        <f>SUM(E29:F29)</f>
        <v>9.7734000000000001E-2</v>
      </c>
      <c r="F30" s="111"/>
      <c r="G30" s="13"/>
      <c r="H30" s="13"/>
    </row>
    <row r="31" spans="1:8" x14ac:dyDescent="0.25">
      <c r="A31" s="1"/>
      <c r="B31" s="72"/>
      <c r="C31" s="72"/>
      <c r="D31" s="21" t="s">
        <v>79</v>
      </c>
      <c r="E31" s="112">
        <f>E30*1</f>
        <v>9.7734000000000001E-2</v>
      </c>
      <c r="F31" s="113"/>
      <c r="G31" s="13"/>
      <c r="H31" s="13"/>
    </row>
    <row r="32" spans="1:8" x14ac:dyDescent="0.25">
      <c r="A32" s="1"/>
      <c r="B32" s="72"/>
      <c r="C32" s="72"/>
      <c r="D32" s="23" t="s">
        <v>66</v>
      </c>
      <c r="E32" s="114"/>
      <c r="F32" s="115"/>
      <c r="G32" s="13"/>
      <c r="H32" s="13"/>
    </row>
    <row r="33" spans="1:8" x14ac:dyDescent="0.25">
      <c r="A33" s="1"/>
      <c r="B33" s="74"/>
      <c r="C33" s="74"/>
      <c r="D33" s="27"/>
      <c r="E33" s="28"/>
      <c r="F33" s="28"/>
      <c r="G33" s="29"/>
      <c r="H33" s="29"/>
    </row>
    <row r="34" spans="1:8" x14ac:dyDescent="0.25">
      <c r="A34" s="1"/>
      <c r="B34" s="85" t="s">
        <v>42</v>
      </c>
      <c r="C34" s="86" t="s">
        <v>74</v>
      </c>
      <c r="D34" s="87"/>
      <c r="E34" s="88"/>
      <c r="F34" s="88"/>
      <c r="G34" s="88" t="s">
        <v>286</v>
      </c>
    </row>
    <row r="35" spans="1:8" ht="15.6" x14ac:dyDescent="0.25">
      <c r="A35" s="1"/>
      <c r="B35" s="74"/>
      <c r="C35" s="72" t="s">
        <v>82</v>
      </c>
      <c r="D35" s="30" t="s">
        <v>80</v>
      </c>
      <c r="E35" s="31" t="s">
        <v>81</v>
      </c>
      <c r="F35" s="28"/>
      <c r="G35" s="29"/>
      <c r="H35" s="29"/>
    </row>
    <row r="36" spans="1:8" x14ac:dyDescent="0.25">
      <c r="A36" s="1"/>
      <c r="B36" s="74"/>
      <c r="C36" s="72"/>
      <c r="D36" s="18">
        <v>1.3</v>
      </c>
      <c r="E36" s="32">
        <v>0.60199999999999998</v>
      </c>
      <c r="F36" s="28"/>
      <c r="G36" s="29"/>
      <c r="H36" s="29"/>
    </row>
    <row r="37" spans="1:8" x14ac:dyDescent="0.25">
      <c r="A37" s="1"/>
      <c r="B37" s="74"/>
      <c r="C37" s="72"/>
      <c r="D37" s="33">
        <v>1.4</v>
      </c>
      <c r="E37" s="34">
        <v>0.57499999999999996</v>
      </c>
      <c r="F37" s="28"/>
      <c r="G37" s="29"/>
      <c r="H37" s="29"/>
    </row>
    <row r="38" spans="1:8" x14ac:dyDescent="0.25">
      <c r="A38" s="1"/>
      <c r="B38" s="74"/>
      <c r="C38" s="72"/>
      <c r="D38" s="30">
        <v>1.333</v>
      </c>
      <c r="E38" s="31">
        <f>(D38-D36)*(E37-E36)/(D37-D36)+E36</f>
        <v>0.59309000000000001</v>
      </c>
      <c r="F38" s="28"/>
      <c r="G38" s="29"/>
      <c r="H38" s="29"/>
    </row>
    <row r="39" spans="1:8" x14ac:dyDescent="0.25">
      <c r="A39" s="1"/>
      <c r="B39" s="74"/>
      <c r="C39" s="72"/>
      <c r="D39" s="27"/>
      <c r="E39" s="28"/>
      <c r="F39" s="28"/>
      <c r="G39" s="29"/>
      <c r="H39" s="29"/>
    </row>
    <row r="40" spans="1:8" x14ac:dyDescent="0.25">
      <c r="A40" s="1"/>
      <c r="B40" s="74"/>
      <c r="C40" s="72" t="s">
        <v>83</v>
      </c>
      <c r="D40" s="27" t="s">
        <v>84</v>
      </c>
      <c r="E40" s="37">
        <v>1.72</v>
      </c>
      <c r="F40" s="36"/>
      <c r="G40" s="29"/>
      <c r="H40" s="29"/>
    </row>
    <row r="41" spans="1:8" ht="15.6" x14ac:dyDescent="0.25">
      <c r="A41" s="1"/>
      <c r="B41" s="74"/>
      <c r="C41" s="72"/>
      <c r="D41" s="27" t="s">
        <v>86</v>
      </c>
      <c r="E41" s="35">
        <f>E38</f>
        <v>0.59309000000000001</v>
      </c>
      <c r="F41" s="36" t="s">
        <v>87</v>
      </c>
      <c r="G41" s="29"/>
      <c r="H41" s="29"/>
    </row>
    <row r="42" spans="1:8" x14ac:dyDescent="0.25">
      <c r="A42" s="1"/>
      <c r="B42" s="74"/>
      <c r="C42" s="72"/>
      <c r="D42" s="27" t="s">
        <v>88</v>
      </c>
      <c r="E42" s="39">
        <v>32</v>
      </c>
      <c r="F42" s="36" t="s">
        <v>89</v>
      </c>
      <c r="G42" s="29"/>
      <c r="H42" s="29"/>
    </row>
    <row r="43" spans="1:8" x14ac:dyDescent="0.25">
      <c r="A43" s="1"/>
      <c r="B43" s="74"/>
      <c r="C43" s="72"/>
      <c r="D43" s="27"/>
      <c r="E43" s="38">
        <f>E42/10</f>
        <v>3.2</v>
      </c>
      <c r="F43" s="36" t="s">
        <v>90</v>
      </c>
      <c r="G43" s="29"/>
      <c r="H43" s="29"/>
    </row>
    <row r="44" spans="1:8" x14ac:dyDescent="0.25">
      <c r="A44" s="1"/>
      <c r="B44" s="74"/>
      <c r="C44" s="72"/>
      <c r="D44" s="27" t="s">
        <v>85</v>
      </c>
      <c r="E44" s="38">
        <f>EXP(E41*E43)/E40</f>
        <v>3.8789469384234225</v>
      </c>
      <c r="F44" s="36"/>
      <c r="G44" s="29"/>
      <c r="H44" s="29"/>
    </row>
    <row r="45" spans="1:8" x14ac:dyDescent="0.25">
      <c r="B45" s="7" t="s">
        <v>91</v>
      </c>
      <c r="C45" s="72"/>
      <c r="D45" s="2"/>
      <c r="E45" s="38"/>
      <c r="F45" s="36"/>
      <c r="G45" s="29"/>
      <c r="H45" s="29"/>
    </row>
    <row r="46" spans="1:8" x14ac:dyDescent="0.25">
      <c r="B46" s="7" t="s">
        <v>295</v>
      </c>
      <c r="C46" s="72"/>
      <c r="D46" s="2"/>
      <c r="E46" s="38"/>
      <c r="F46" s="36"/>
      <c r="G46" s="29"/>
      <c r="H46" s="29"/>
    </row>
    <row r="47" spans="1:8" x14ac:dyDescent="0.25">
      <c r="A47" s="98"/>
      <c r="B47" s="7" t="s">
        <v>294</v>
      </c>
      <c r="C47" s="72"/>
      <c r="D47" s="2"/>
      <c r="E47" s="38"/>
      <c r="F47" s="36"/>
      <c r="G47" s="29"/>
      <c r="H47" s="29"/>
    </row>
    <row r="48" spans="1:8" x14ac:dyDescent="0.25">
      <c r="B48" s="7" t="s">
        <v>265</v>
      </c>
      <c r="C48" s="72"/>
      <c r="D48" s="27"/>
      <c r="E48" s="38"/>
      <c r="F48" s="36"/>
      <c r="G48" s="29"/>
      <c r="H48" s="29"/>
    </row>
    <row r="49" spans="1:8" x14ac:dyDescent="0.25">
      <c r="B49" s="7" t="s">
        <v>293</v>
      </c>
      <c r="C49" s="72"/>
      <c r="D49" s="2"/>
      <c r="G49" s="27"/>
      <c r="H49" s="13"/>
    </row>
    <row r="50" spans="1:8" x14ac:dyDescent="0.25">
      <c r="A50" s="7"/>
      <c r="B50" s="72"/>
      <c r="C50" s="72"/>
      <c r="D50" s="2"/>
      <c r="G50" s="27"/>
      <c r="H50" s="13"/>
    </row>
    <row r="51" spans="1:8" x14ac:dyDescent="0.25">
      <c r="A51" s="7"/>
      <c r="B51" s="72"/>
      <c r="C51" s="72"/>
      <c r="D51" s="2"/>
      <c r="G51" s="27"/>
      <c r="H51" s="13"/>
    </row>
    <row r="52" spans="1:8" x14ac:dyDescent="0.25">
      <c r="A52" s="7"/>
      <c r="B52" s="72"/>
      <c r="C52" s="72"/>
      <c r="D52" s="2"/>
      <c r="G52" s="27"/>
      <c r="H52" s="13"/>
    </row>
    <row r="53" spans="1:8" ht="26.4" x14ac:dyDescent="0.25">
      <c r="A53" s="116" t="s">
        <v>281</v>
      </c>
      <c r="B53" s="116"/>
      <c r="C53" s="116"/>
      <c r="D53" s="116"/>
      <c r="E53" s="116"/>
      <c r="F53" s="104" t="s">
        <v>287</v>
      </c>
      <c r="G53" s="104"/>
      <c r="H53" s="96" t="s">
        <v>292</v>
      </c>
    </row>
    <row r="54" spans="1:8" x14ac:dyDescent="0.25">
      <c r="A54" s="117" t="s">
        <v>290</v>
      </c>
      <c r="B54" s="118"/>
      <c r="C54" s="118"/>
      <c r="D54" s="118"/>
      <c r="E54" s="119"/>
      <c r="F54" s="104" t="s">
        <v>271</v>
      </c>
      <c r="G54" s="104"/>
      <c r="H54" s="96" t="s">
        <v>274</v>
      </c>
    </row>
    <row r="55" spans="1:8" ht="28.5" customHeight="1" x14ac:dyDescent="0.25"/>
  </sheetData>
  <mergeCells count="6">
    <mergeCell ref="E30:F30"/>
    <mergeCell ref="E31:F32"/>
    <mergeCell ref="A53:E53"/>
    <mergeCell ref="F53:G53"/>
    <mergeCell ref="A54:E54"/>
    <mergeCell ref="F54:G5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Normal="100" workbookViewId="0">
      <selection activeCell="G28" sqref="G28"/>
    </sheetView>
  </sheetViews>
  <sheetFormatPr baseColWidth="10" defaultRowHeight="13.2" x14ac:dyDescent="0.25"/>
  <cols>
    <col min="7" max="7" width="13.77734375" customWidth="1"/>
  </cols>
  <sheetData>
    <row r="1" spans="1:8" x14ac:dyDescent="0.25">
      <c r="A1" s="1"/>
      <c r="B1" s="72" t="s">
        <v>92</v>
      </c>
      <c r="C1" s="27" t="s">
        <v>93</v>
      </c>
      <c r="D1" s="35">
        <f>'Page 3'!E30</f>
        <v>9.7734000000000001E-2</v>
      </c>
      <c r="E1" s="36" t="s">
        <v>94</v>
      </c>
      <c r="F1" s="13"/>
      <c r="G1" s="13"/>
    </row>
    <row r="2" spans="1:8" x14ac:dyDescent="0.25">
      <c r="A2" s="1"/>
      <c r="B2" s="72"/>
      <c r="C2" s="40" t="s">
        <v>95</v>
      </c>
      <c r="D2" s="37"/>
      <c r="E2" s="36"/>
      <c r="F2" s="13"/>
      <c r="G2" s="13"/>
    </row>
    <row r="3" spans="1:8" x14ac:dyDescent="0.25">
      <c r="A3" s="1"/>
      <c r="B3" s="72"/>
      <c r="C3" s="27" t="s">
        <v>93</v>
      </c>
      <c r="D3" s="35">
        <f>D1/'Page 3'!E44</f>
        <v>2.519601364790091E-2</v>
      </c>
      <c r="E3" s="36" t="s">
        <v>94</v>
      </c>
      <c r="F3" s="13"/>
      <c r="G3" s="13"/>
    </row>
    <row r="4" spans="1:8" x14ac:dyDescent="0.25">
      <c r="A4" s="1"/>
      <c r="B4" s="72"/>
      <c r="C4" s="40" t="s">
        <v>96</v>
      </c>
      <c r="D4" s="37"/>
      <c r="E4" s="36"/>
      <c r="F4" s="13"/>
      <c r="G4" s="13"/>
    </row>
    <row r="5" spans="1:8" x14ac:dyDescent="0.25">
      <c r="A5" s="1"/>
      <c r="B5" s="72"/>
      <c r="C5" s="2"/>
      <c r="F5" s="13"/>
      <c r="G5" s="13"/>
    </row>
    <row r="6" spans="1:8" x14ac:dyDescent="0.25">
      <c r="A6" s="1"/>
      <c r="B6" s="72"/>
      <c r="C6" s="2"/>
      <c r="F6" s="13"/>
      <c r="G6" s="13"/>
    </row>
    <row r="7" spans="1:8" x14ac:dyDescent="0.25">
      <c r="A7" s="1"/>
      <c r="B7" s="72"/>
      <c r="C7" s="27" t="s">
        <v>93</v>
      </c>
      <c r="D7" s="41">
        <f>D3*(1/1.2)^2</f>
        <v>1.7497231699931188E-2</v>
      </c>
      <c r="E7" s="13" t="s">
        <v>94</v>
      </c>
      <c r="F7" s="13"/>
      <c r="G7" s="13"/>
    </row>
    <row r="8" spans="1:8" x14ac:dyDescent="0.25">
      <c r="A8" s="1"/>
      <c r="B8" s="72"/>
      <c r="C8" s="40" t="s">
        <v>97</v>
      </c>
      <c r="D8" s="13"/>
      <c r="E8" s="13"/>
      <c r="F8" s="13"/>
      <c r="G8" s="13"/>
    </row>
    <row r="9" spans="1:8" x14ac:dyDescent="0.25">
      <c r="A9" s="1"/>
      <c r="B9" s="72"/>
      <c r="C9" s="24"/>
      <c r="D9" s="13"/>
      <c r="E9" s="13"/>
      <c r="F9" s="13"/>
      <c r="G9" s="13"/>
    </row>
    <row r="10" spans="1:8" x14ac:dyDescent="0.25">
      <c r="A10" s="85" t="s">
        <v>99</v>
      </c>
      <c r="B10" s="86" t="s">
        <v>296</v>
      </c>
      <c r="C10" s="86"/>
      <c r="D10" s="87"/>
      <c r="E10" s="88"/>
      <c r="F10" s="88"/>
      <c r="G10" s="88"/>
      <c r="H10" s="73"/>
    </row>
    <row r="11" spans="1:8" x14ac:dyDescent="0.25">
      <c r="A11" s="13"/>
      <c r="B11" s="73"/>
      <c r="C11" s="73"/>
      <c r="D11" s="13"/>
      <c r="E11" s="13"/>
      <c r="F11" s="13"/>
      <c r="G11" s="13"/>
      <c r="H11" s="13"/>
    </row>
    <row r="12" spans="1:8" x14ac:dyDescent="0.25">
      <c r="A12" s="1"/>
      <c r="B12" s="85" t="s">
        <v>100</v>
      </c>
      <c r="C12" s="86" t="s">
        <v>101</v>
      </c>
      <c r="D12" s="87"/>
      <c r="E12" s="88"/>
      <c r="F12" s="88"/>
      <c r="G12" s="88"/>
    </row>
    <row r="13" spans="1:8" x14ac:dyDescent="0.25">
      <c r="A13" s="1"/>
      <c r="B13" s="72" t="s">
        <v>109</v>
      </c>
      <c r="C13" s="1" t="s">
        <v>102</v>
      </c>
      <c r="D13" s="2">
        <v>236</v>
      </c>
      <c r="E13" t="s">
        <v>7</v>
      </c>
    </row>
    <row r="14" spans="1:8" x14ac:dyDescent="0.25">
      <c r="A14" s="1"/>
      <c r="B14" s="72"/>
      <c r="C14" s="1" t="s">
        <v>105</v>
      </c>
      <c r="D14" s="7" t="s">
        <v>104</v>
      </c>
    </row>
    <row r="15" spans="1:8" x14ac:dyDescent="0.25">
      <c r="A15" s="1"/>
      <c r="B15" s="72"/>
      <c r="C15" s="1" t="s">
        <v>106</v>
      </c>
      <c r="D15" s="1" t="s">
        <v>7</v>
      </c>
    </row>
    <row r="16" spans="1:8" x14ac:dyDescent="0.25">
      <c r="A16" s="1"/>
      <c r="B16" s="72"/>
      <c r="C16" s="1" t="s">
        <v>103</v>
      </c>
      <c r="D16" s="2">
        <v>411</v>
      </c>
      <c r="E16" t="s">
        <v>7</v>
      </c>
    </row>
    <row r="17" spans="1:7" x14ac:dyDescent="0.25">
      <c r="A17" s="1"/>
      <c r="B17" s="72"/>
      <c r="C17" s="1" t="s">
        <v>105</v>
      </c>
      <c r="D17" s="7" t="s">
        <v>107</v>
      </c>
    </row>
    <row r="18" spans="1:7" x14ac:dyDescent="0.25">
      <c r="A18" s="1"/>
      <c r="B18" s="72"/>
      <c r="C18" s="1" t="s">
        <v>106</v>
      </c>
      <c r="D18" s="1" t="s">
        <v>108</v>
      </c>
    </row>
    <row r="19" spans="1:7" x14ac:dyDescent="0.25">
      <c r="A19" s="1"/>
      <c r="B19" s="72"/>
      <c r="C19" s="2"/>
    </row>
    <row r="20" spans="1:7" x14ac:dyDescent="0.25">
      <c r="A20" s="1"/>
      <c r="B20" s="72" t="s">
        <v>110</v>
      </c>
      <c r="C20" s="2" t="s">
        <v>111</v>
      </c>
      <c r="D20" t="s">
        <v>112</v>
      </c>
    </row>
    <row r="21" spans="1:7" x14ac:dyDescent="0.25">
      <c r="A21" s="1"/>
      <c r="B21" s="72"/>
      <c r="C21" s="2"/>
    </row>
    <row r="22" spans="1:7" x14ac:dyDescent="0.25">
      <c r="A22" s="1"/>
      <c r="B22" s="72" t="s">
        <v>113</v>
      </c>
      <c r="C22" s="1" t="s">
        <v>103</v>
      </c>
      <c r="D22" t="s">
        <v>114</v>
      </c>
    </row>
    <row r="23" spans="1:7" x14ac:dyDescent="0.25">
      <c r="A23" s="1"/>
      <c r="B23" s="72"/>
      <c r="C23" s="2"/>
      <c r="D23" t="s">
        <v>115</v>
      </c>
    </row>
    <row r="24" spans="1:7" x14ac:dyDescent="0.25">
      <c r="A24" s="1"/>
      <c r="B24" s="72"/>
      <c r="C24" s="1" t="s">
        <v>102</v>
      </c>
      <c r="D24" t="s">
        <v>264</v>
      </c>
    </row>
    <row r="25" spans="1:7" x14ac:dyDescent="0.25">
      <c r="A25" s="1"/>
      <c r="B25" s="72"/>
      <c r="C25" s="2"/>
      <c r="D25" t="s">
        <v>116</v>
      </c>
    </row>
    <row r="26" spans="1:7" x14ac:dyDescent="0.25">
      <c r="A26" s="1"/>
      <c r="B26" s="72"/>
      <c r="C26" s="2"/>
      <c r="D26" t="s">
        <v>117</v>
      </c>
    </row>
    <row r="27" spans="1:7" x14ac:dyDescent="0.25">
      <c r="A27" s="1"/>
      <c r="B27" s="72"/>
      <c r="C27" s="2"/>
    </row>
    <row r="28" spans="1:7" x14ac:dyDescent="0.25">
      <c r="A28" s="1"/>
      <c r="B28" s="85" t="s">
        <v>118</v>
      </c>
      <c r="C28" s="86" t="s">
        <v>119</v>
      </c>
      <c r="D28" s="87"/>
      <c r="E28" s="88"/>
      <c r="F28" s="88"/>
      <c r="G28" s="88"/>
    </row>
    <row r="29" spans="1:7" x14ac:dyDescent="0.25">
      <c r="A29" s="1"/>
      <c r="B29" s="72"/>
      <c r="C29" s="72"/>
      <c r="D29" s="2"/>
    </row>
    <row r="30" spans="1:7" x14ac:dyDescent="0.25">
      <c r="A30" s="1"/>
      <c r="B30" s="72" t="s">
        <v>127</v>
      </c>
      <c r="C30" s="1" t="s">
        <v>120</v>
      </c>
      <c r="D30" s="2" t="s">
        <v>121</v>
      </c>
    </row>
    <row r="31" spans="1:7" x14ac:dyDescent="0.25">
      <c r="A31" s="1"/>
      <c r="B31" s="72"/>
      <c r="C31" s="7" t="s">
        <v>122</v>
      </c>
      <c r="D31" s="1" t="s">
        <v>123</v>
      </c>
      <c r="E31" s="91" t="s">
        <v>124</v>
      </c>
    </row>
    <row r="32" spans="1:7" x14ac:dyDescent="0.25">
      <c r="A32" s="1"/>
      <c r="B32" s="72"/>
      <c r="C32" s="2" t="s">
        <v>125</v>
      </c>
      <c r="D32" s="2" t="s">
        <v>121</v>
      </c>
    </row>
    <row r="33" spans="1:7" x14ac:dyDescent="0.25">
      <c r="A33" s="1"/>
      <c r="B33" s="72"/>
      <c r="C33" s="7" t="s">
        <v>126</v>
      </c>
    </row>
    <row r="34" spans="1:7" x14ac:dyDescent="0.25">
      <c r="A34" s="1"/>
      <c r="B34" s="72"/>
      <c r="C34" s="7"/>
    </row>
    <row r="35" spans="1:7" x14ac:dyDescent="0.25">
      <c r="A35" s="1"/>
      <c r="B35" s="72" t="s">
        <v>128</v>
      </c>
      <c r="C35" s="7"/>
    </row>
    <row r="36" spans="1:7" x14ac:dyDescent="0.25">
      <c r="A36" s="1"/>
      <c r="B36" s="72"/>
      <c r="C36" s="7"/>
    </row>
    <row r="37" spans="1:7" x14ac:dyDescent="0.25">
      <c r="A37" s="1"/>
      <c r="B37" s="72"/>
      <c r="C37" s="7"/>
    </row>
    <row r="38" spans="1:7" x14ac:dyDescent="0.25">
      <c r="A38" s="1"/>
      <c r="B38" s="72"/>
      <c r="C38" s="7"/>
    </row>
    <row r="39" spans="1:7" x14ac:dyDescent="0.25">
      <c r="A39" s="1"/>
      <c r="B39" s="72"/>
      <c r="C39" s="7"/>
    </row>
    <row r="40" spans="1:7" x14ac:dyDescent="0.25">
      <c r="A40" s="1"/>
      <c r="B40" s="72"/>
      <c r="C40" s="7"/>
    </row>
    <row r="41" spans="1:7" x14ac:dyDescent="0.25">
      <c r="A41" s="1"/>
      <c r="B41" s="72"/>
      <c r="C41" s="2"/>
      <c r="G41" t="s">
        <v>12</v>
      </c>
    </row>
    <row r="42" spans="1:7" x14ac:dyDescent="0.25">
      <c r="A42" s="1"/>
      <c r="B42" s="72"/>
      <c r="C42" s="42"/>
      <c r="D42" s="43"/>
      <c r="E42" s="43"/>
      <c r="F42" s="43"/>
      <c r="G42" t="s">
        <v>129</v>
      </c>
    </row>
    <row r="43" spans="1:7" x14ac:dyDescent="0.25">
      <c r="A43" s="1"/>
      <c r="B43" s="72"/>
      <c r="C43" s="42"/>
      <c r="D43" s="43"/>
      <c r="E43" s="43"/>
      <c r="F43" s="43"/>
      <c r="G43" t="s">
        <v>130</v>
      </c>
    </row>
    <row r="44" spans="1:7" x14ac:dyDescent="0.25">
      <c r="A44" s="1"/>
      <c r="B44" s="72"/>
      <c r="C44" s="42"/>
      <c r="D44" s="43"/>
      <c r="E44" s="43"/>
      <c r="F44" s="43"/>
      <c r="G44" t="s">
        <v>131</v>
      </c>
    </row>
    <row r="45" spans="1:7" x14ac:dyDescent="0.25">
      <c r="A45" s="1"/>
      <c r="B45" s="72"/>
      <c r="C45" s="2"/>
    </row>
    <row r="49" spans="1:8" ht="26.4" x14ac:dyDescent="0.25">
      <c r="A49" s="116" t="s">
        <v>281</v>
      </c>
      <c r="B49" s="116"/>
      <c r="C49" s="116"/>
      <c r="D49" s="116"/>
      <c r="E49" s="116"/>
      <c r="F49" s="104" t="s">
        <v>287</v>
      </c>
      <c r="G49" s="104"/>
      <c r="H49" s="96" t="s">
        <v>292</v>
      </c>
    </row>
    <row r="50" spans="1:8" ht="12.75" customHeight="1" x14ac:dyDescent="0.25">
      <c r="A50" s="117" t="s">
        <v>290</v>
      </c>
      <c r="B50" s="118"/>
      <c r="C50" s="118"/>
      <c r="D50" s="118"/>
      <c r="E50" s="119"/>
      <c r="F50" s="104" t="s">
        <v>271</v>
      </c>
      <c r="G50" s="104"/>
      <c r="H50" s="96" t="s">
        <v>275</v>
      </c>
    </row>
  </sheetData>
  <mergeCells count="4">
    <mergeCell ref="A49:E49"/>
    <mergeCell ref="A50:E50"/>
    <mergeCell ref="F49:G49"/>
    <mergeCell ref="F50:G5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228600</xdr:colOff>
                <xdr:row>20</xdr:row>
                <xdr:rowOff>68580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topLeftCell="A28" zoomScaleNormal="100" workbookViewId="0">
      <selection activeCell="A4" sqref="A4:A13"/>
    </sheetView>
  </sheetViews>
  <sheetFormatPr baseColWidth="10" defaultRowHeight="13.2" x14ac:dyDescent="0.25"/>
  <sheetData>
    <row r="1" spans="1:8" x14ac:dyDescent="0.25">
      <c r="A1" s="1"/>
      <c r="B1" s="72"/>
      <c r="C1" s="72"/>
      <c r="D1" s="2"/>
    </row>
    <row r="2" spans="1:8" x14ac:dyDescent="0.25">
      <c r="A2" s="85" t="s">
        <v>132</v>
      </c>
      <c r="B2" s="86" t="s">
        <v>133</v>
      </c>
      <c r="C2" s="86"/>
      <c r="D2" s="87"/>
      <c r="E2" s="88"/>
      <c r="F2" s="88"/>
      <c r="G2" s="88"/>
    </row>
    <row r="3" spans="1:8" ht="15.6" x14ac:dyDescent="0.35">
      <c r="A3" s="1"/>
      <c r="B3" s="72" t="s">
        <v>134</v>
      </c>
      <c r="C3" s="72"/>
      <c r="D3" s="2" t="s">
        <v>135</v>
      </c>
      <c r="E3">
        <v>11</v>
      </c>
      <c r="F3" t="s">
        <v>136</v>
      </c>
      <c r="G3" s="6">
        <v>0.6</v>
      </c>
      <c r="H3" t="s">
        <v>138</v>
      </c>
    </row>
    <row r="4" spans="1:8" ht="15.6" x14ac:dyDescent="0.35">
      <c r="A4" s="1"/>
      <c r="B4" s="72"/>
      <c r="C4" s="72"/>
      <c r="D4" s="2" t="s">
        <v>137</v>
      </c>
      <c r="E4">
        <v>2</v>
      </c>
      <c r="F4" t="s">
        <v>136</v>
      </c>
      <c r="G4" s="6">
        <f>1-G3</f>
        <v>0.4</v>
      </c>
      <c r="H4" t="s">
        <v>138</v>
      </c>
    </row>
    <row r="5" spans="1:8" x14ac:dyDescent="0.25">
      <c r="A5" s="1"/>
      <c r="B5" s="72"/>
      <c r="C5" s="72"/>
      <c r="D5" s="2" t="s">
        <v>142</v>
      </c>
      <c r="E5">
        <v>8</v>
      </c>
      <c r="F5" t="s">
        <v>0</v>
      </c>
      <c r="H5" s="6"/>
    </row>
    <row r="6" spans="1:8" ht="15.6" x14ac:dyDescent="0.35">
      <c r="A6" s="1"/>
      <c r="B6" s="72"/>
      <c r="C6" s="72"/>
      <c r="D6" s="2" t="s">
        <v>140</v>
      </c>
      <c r="E6">
        <v>1</v>
      </c>
      <c r="G6" t="s">
        <v>141</v>
      </c>
      <c r="H6" s="6"/>
    </row>
    <row r="7" spans="1:8" x14ac:dyDescent="0.25">
      <c r="A7" s="1"/>
      <c r="B7" s="72"/>
      <c r="C7" s="72"/>
      <c r="D7" s="2" t="s">
        <v>139</v>
      </c>
      <c r="E7" s="8">
        <v>15</v>
      </c>
      <c r="F7" t="s">
        <v>143</v>
      </c>
    </row>
    <row r="8" spans="1:8" x14ac:dyDescent="0.25">
      <c r="A8" s="1"/>
      <c r="B8" s="72"/>
      <c r="C8" s="72"/>
      <c r="D8" s="2"/>
    </row>
    <row r="9" spans="1:8" x14ac:dyDescent="0.25">
      <c r="A9" s="1"/>
      <c r="B9" s="72" t="s">
        <v>144</v>
      </c>
      <c r="C9" s="72"/>
      <c r="D9" s="2" t="s">
        <v>145</v>
      </c>
      <c r="E9">
        <v>5</v>
      </c>
      <c r="F9" t="s">
        <v>136</v>
      </c>
    </row>
    <row r="10" spans="1:8" ht="15.6" x14ac:dyDescent="0.35">
      <c r="A10" s="1"/>
      <c r="B10" s="72"/>
      <c r="C10" s="72"/>
      <c r="D10" s="2" t="s">
        <v>146</v>
      </c>
      <c r="E10">
        <v>0.7</v>
      </c>
    </row>
    <row r="11" spans="1:8" x14ac:dyDescent="0.25">
      <c r="A11" s="1"/>
      <c r="B11" s="72"/>
      <c r="C11" s="72"/>
      <c r="D11" s="2" t="s">
        <v>142</v>
      </c>
      <c r="E11">
        <v>4</v>
      </c>
      <c r="F11" t="s">
        <v>0</v>
      </c>
    </row>
    <row r="12" spans="1:8" ht="15.6" x14ac:dyDescent="0.35">
      <c r="A12" s="1"/>
      <c r="B12" s="72"/>
      <c r="C12" s="72"/>
      <c r="D12" s="2" t="s">
        <v>140</v>
      </c>
      <c r="E12">
        <v>1</v>
      </c>
      <c r="G12" t="s">
        <v>141</v>
      </c>
    </row>
    <row r="13" spans="1:8" x14ac:dyDescent="0.25">
      <c r="A13" s="1"/>
      <c r="B13" s="72"/>
      <c r="C13" s="72"/>
      <c r="D13" s="2" t="s">
        <v>139</v>
      </c>
      <c r="E13" s="59">
        <f>E9*E11*E12*E10/6</f>
        <v>2.3333333333333335</v>
      </c>
      <c r="F13" t="s">
        <v>147</v>
      </c>
    </row>
    <row r="14" spans="1:8" x14ac:dyDescent="0.25">
      <c r="A14" s="1"/>
      <c r="B14" s="72"/>
      <c r="C14" s="72"/>
      <c r="D14" s="2"/>
    </row>
    <row r="15" spans="1:8" x14ac:dyDescent="0.25">
      <c r="A15" s="85" t="s">
        <v>148</v>
      </c>
      <c r="B15" s="86" t="s">
        <v>149</v>
      </c>
      <c r="C15" s="86"/>
      <c r="D15" s="87"/>
      <c r="E15" s="88"/>
      <c r="F15" s="88"/>
      <c r="G15" s="88"/>
    </row>
    <row r="16" spans="1:8" x14ac:dyDescent="0.25">
      <c r="A16" s="1"/>
      <c r="B16" s="72"/>
      <c r="C16" s="72"/>
      <c r="D16" s="1"/>
      <c r="E16" s="1"/>
      <c r="F16" s="1"/>
    </row>
    <row r="17" spans="1:7" x14ac:dyDescent="0.25">
      <c r="A17" s="1"/>
      <c r="B17" s="85" t="s">
        <v>150</v>
      </c>
      <c r="C17" s="86" t="s">
        <v>170</v>
      </c>
      <c r="D17" s="87"/>
      <c r="E17" s="88"/>
      <c r="F17" s="88"/>
      <c r="G17" s="88"/>
    </row>
    <row r="18" spans="1:7" x14ac:dyDescent="0.25">
      <c r="A18" s="1"/>
      <c r="B18" s="72"/>
      <c r="C18" s="72" t="s">
        <v>165</v>
      </c>
      <c r="D18" s="2" t="s">
        <v>151</v>
      </c>
    </row>
    <row r="19" spans="1:7" x14ac:dyDescent="0.25">
      <c r="A19" s="1"/>
      <c r="B19" s="72"/>
      <c r="C19" s="72"/>
      <c r="D19" s="2"/>
    </row>
    <row r="20" spans="1:7" x14ac:dyDescent="0.25">
      <c r="A20" s="1"/>
      <c r="B20" s="72"/>
      <c r="C20" s="72" t="s">
        <v>166</v>
      </c>
      <c r="D20" s="2" t="s">
        <v>154</v>
      </c>
      <c r="E20">
        <v>98</v>
      </c>
      <c r="F20" t="s">
        <v>2</v>
      </c>
    </row>
    <row r="21" spans="1:7" x14ac:dyDescent="0.25">
      <c r="A21" s="1"/>
      <c r="B21" s="72"/>
      <c r="C21" s="72"/>
      <c r="D21" s="2" t="s">
        <v>155</v>
      </c>
      <c r="E21">
        <v>1</v>
      </c>
      <c r="F21" t="s">
        <v>1</v>
      </c>
    </row>
    <row r="22" spans="1:7" ht="15.6" x14ac:dyDescent="0.35">
      <c r="A22" s="1"/>
      <c r="B22" s="72"/>
      <c r="C22" s="72"/>
      <c r="D22" s="2" t="s">
        <v>153</v>
      </c>
      <c r="E22" s="44">
        <f>10^(E20/10)</f>
        <v>6309573444.8019466</v>
      </c>
    </row>
    <row r="23" spans="1:7" x14ac:dyDescent="0.25">
      <c r="A23" s="1"/>
      <c r="B23" s="72"/>
      <c r="C23" s="72"/>
      <c r="D23" s="2"/>
    </row>
    <row r="24" spans="1:7" x14ac:dyDescent="0.25">
      <c r="A24" s="1"/>
      <c r="B24" s="72"/>
      <c r="C24" s="72" t="s">
        <v>167</v>
      </c>
      <c r="D24" s="2" t="s">
        <v>156</v>
      </c>
      <c r="E24">
        <v>4</v>
      </c>
      <c r="F24" t="s">
        <v>1</v>
      </c>
    </row>
    <row r="25" spans="1:7" ht="15.6" x14ac:dyDescent="0.35">
      <c r="A25" s="1"/>
      <c r="B25" s="72"/>
      <c r="C25" s="72"/>
      <c r="D25" s="2" t="s">
        <v>157</v>
      </c>
      <c r="E25" s="44">
        <f>E22*(E21/E24)^2</f>
        <v>394348340.30012167</v>
      </c>
    </row>
    <row r="26" spans="1:7" x14ac:dyDescent="0.25">
      <c r="A26" s="1"/>
      <c r="B26" s="72"/>
      <c r="C26" s="72"/>
      <c r="D26" s="2"/>
    </row>
    <row r="27" spans="1:7" x14ac:dyDescent="0.25">
      <c r="A27" s="1"/>
      <c r="B27" s="72"/>
      <c r="C27" s="72" t="s">
        <v>168</v>
      </c>
      <c r="D27" s="2" t="s">
        <v>158</v>
      </c>
      <c r="E27" s="8">
        <f>10*LOG(E25)</f>
        <v>85.95880017344075</v>
      </c>
      <c r="F27" t="s">
        <v>2</v>
      </c>
    </row>
    <row r="28" spans="1:7" x14ac:dyDescent="0.25">
      <c r="A28" s="1"/>
      <c r="B28" s="72"/>
      <c r="C28" s="72"/>
      <c r="D28" s="2"/>
    </row>
    <row r="29" spans="1:7" x14ac:dyDescent="0.25">
      <c r="A29" s="1"/>
      <c r="B29" s="72"/>
      <c r="C29" s="72" t="s">
        <v>169</v>
      </c>
      <c r="D29" s="1" t="s">
        <v>159</v>
      </c>
      <c r="E29" s="7" t="s">
        <v>160</v>
      </c>
    </row>
    <row r="30" spans="1:7" x14ac:dyDescent="0.25">
      <c r="A30" s="1"/>
      <c r="B30" s="72"/>
      <c r="C30" s="72"/>
      <c r="D30" s="1" t="s">
        <v>162</v>
      </c>
      <c r="E30" t="s">
        <v>163</v>
      </c>
    </row>
    <row r="31" spans="1:7" x14ac:dyDescent="0.25">
      <c r="A31" s="1"/>
      <c r="B31" s="72"/>
      <c r="C31" s="72"/>
      <c r="D31" s="2" t="s">
        <v>161</v>
      </c>
      <c r="E31">
        <v>-10</v>
      </c>
      <c r="F31" t="s">
        <v>2</v>
      </c>
    </row>
    <row r="32" spans="1:7" ht="15.6" x14ac:dyDescent="0.35">
      <c r="A32" s="1"/>
      <c r="B32" s="72"/>
      <c r="C32" s="72"/>
      <c r="D32" s="2" t="s">
        <v>164</v>
      </c>
      <c r="E32" s="8">
        <f>E27+E31</f>
        <v>75.95880017344075</v>
      </c>
      <c r="F32" t="s">
        <v>2</v>
      </c>
    </row>
    <row r="33" spans="1:8" x14ac:dyDescent="0.25">
      <c r="A33" s="1"/>
      <c r="B33" s="72"/>
      <c r="C33" s="72"/>
      <c r="D33" s="2"/>
    </row>
    <row r="34" spans="1:8" x14ac:dyDescent="0.25">
      <c r="A34" s="1"/>
      <c r="B34" s="85" t="s">
        <v>152</v>
      </c>
      <c r="C34" s="86" t="s">
        <v>171</v>
      </c>
      <c r="D34" s="87"/>
      <c r="E34" s="88"/>
      <c r="F34" s="88"/>
      <c r="G34" s="88"/>
    </row>
    <row r="35" spans="1:8" ht="16.8" x14ac:dyDescent="0.35">
      <c r="A35" s="1"/>
      <c r="B35" s="47"/>
      <c r="C35" s="72" t="s">
        <v>183</v>
      </c>
      <c r="D35" s="2" t="s">
        <v>177</v>
      </c>
      <c r="E35" s="3">
        <v>1500</v>
      </c>
      <c r="F35" s="48" t="s">
        <v>178</v>
      </c>
      <c r="G35" s="13"/>
      <c r="H35" s="13"/>
    </row>
    <row r="36" spans="1:8" ht="15.6" x14ac:dyDescent="0.25">
      <c r="A36" s="1"/>
      <c r="B36" s="47"/>
      <c r="C36" s="72"/>
      <c r="D36" s="2"/>
      <c r="E36" s="49">
        <f>E35/3600</f>
        <v>0.41666666666666669</v>
      </c>
      <c r="F36" s="48" t="s">
        <v>179</v>
      </c>
      <c r="G36" s="13"/>
      <c r="H36" s="13"/>
    </row>
    <row r="37" spans="1:8" x14ac:dyDescent="0.25">
      <c r="A37" s="1"/>
      <c r="B37" s="47"/>
      <c r="C37" s="72"/>
      <c r="D37" s="2" t="s">
        <v>155</v>
      </c>
      <c r="E37" s="48">
        <v>138</v>
      </c>
      <c r="F37" s="48" t="s">
        <v>89</v>
      </c>
      <c r="G37" s="13"/>
      <c r="H37" s="13"/>
    </row>
    <row r="38" spans="1:8" x14ac:dyDescent="0.25">
      <c r="A38" s="1"/>
      <c r="B38" s="47"/>
      <c r="C38" s="72"/>
      <c r="D38" s="2"/>
      <c r="E38" s="49">
        <f>E37/1000</f>
        <v>0.13800000000000001</v>
      </c>
      <c r="F38" s="48" t="s">
        <v>1</v>
      </c>
      <c r="G38" s="13"/>
      <c r="H38" s="13"/>
    </row>
    <row r="39" spans="1:8" ht="15.6" x14ac:dyDescent="0.25">
      <c r="A39" s="1"/>
      <c r="B39" s="47"/>
      <c r="C39" s="72"/>
      <c r="D39" s="2" t="s">
        <v>29</v>
      </c>
      <c r="E39" s="77">
        <f>PI()*E38^2/4</f>
        <v>1.4957122623741007E-2</v>
      </c>
      <c r="F39" s="48" t="s">
        <v>180</v>
      </c>
      <c r="G39" s="13"/>
      <c r="H39" s="13"/>
    </row>
    <row r="40" spans="1:8" x14ac:dyDescent="0.25">
      <c r="A40" s="1"/>
      <c r="B40" s="47"/>
      <c r="C40" s="72"/>
      <c r="D40" s="2" t="s">
        <v>181</v>
      </c>
      <c r="E40" s="3">
        <f>E35/E39</f>
        <v>100286.6686149309</v>
      </c>
      <c r="F40" s="48" t="s">
        <v>172</v>
      </c>
      <c r="G40" s="13"/>
      <c r="H40" s="13"/>
    </row>
    <row r="41" spans="1:8" x14ac:dyDescent="0.25">
      <c r="A41" s="1"/>
      <c r="B41" s="47"/>
      <c r="C41" s="72"/>
      <c r="D41" s="2"/>
      <c r="E41" s="50">
        <f>E40/1000</f>
        <v>100.28666861493089</v>
      </c>
      <c r="F41" s="48" t="s">
        <v>173</v>
      </c>
      <c r="G41" s="13"/>
    </row>
    <row r="42" spans="1:8" x14ac:dyDescent="0.25">
      <c r="A42" s="1"/>
      <c r="B42" s="72"/>
      <c r="C42" s="72"/>
      <c r="D42" s="2"/>
      <c r="E42" s="1" t="s">
        <v>182</v>
      </c>
      <c r="G42" s="13"/>
    </row>
    <row r="43" spans="1:8" x14ac:dyDescent="0.25">
      <c r="A43" s="1"/>
      <c r="B43" s="72"/>
      <c r="C43" s="72"/>
      <c r="D43" s="60" t="s">
        <v>260</v>
      </c>
      <c r="E43" s="1"/>
      <c r="G43" s="13"/>
    </row>
    <row r="44" spans="1:8" x14ac:dyDescent="0.25">
      <c r="A44" s="1"/>
      <c r="B44" s="72"/>
      <c r="C44" s="72"/>
      <c r="D44" s="45"/>
      <c r="G44" s="13"/>
    </row>
    <row r="45" spans="1:8" ht="15.6" x14ac:dyDescent="0.25">
      <c r="A45" s="1"/>
      <c r="B45" s="72"/>
      <c r="C45" s="72"/>
      <c r="D45" s="46" t="s">
        <v>176</v>
      </c>
      <c r="E45">
        <v>9.81</v>
      </c>
      <c r="F45" s="51" t="s">
        <v>184</v>
      </c>
      <c r="G45" s="13"/>
    </row>
    <row r="46" spans="1:8" ht="15.6" x14ac:dyDescent="0.25">
      <c r="A46" s="1"/>
      <c r="B46" s="72"/>
      <c r="C46" s="72"/>
      <c r="D46" s="52" t="s">
        <v>185</v>
      </c>
      <c r="E46" s="75">
        <v>1.2</v>
      </c>
      <c r="F46" s="48" t="s">
        <v>186</v>
      </c>
    </row>
    <row r="50" spans="1:8" ht="26.4" x14ac:dyDescent="0.25">
      <c r="A50" s="116" t="s">
        <v>280</v>
      </c>
      <c r="B50" s="116"/>
      <c r="C50" s="116"/>
      <c r="D50" s="116"/>
      <c r="E50" s="116"/>
      <c r="F50" s="104" t="s">
        <v>287</v>
      </c>
      <c r="G50" s="104"/>
      <c r="H50" s="96" t="s">
        <v>292</v>
      </c>
    </row>
    <row r="51" spans="1:8" x14ac:dyDescent="0.25">
      <c r="A51" s="106" t="s">
        <v>290</v>
      </c>
      <c r="B51" s="106"/>
      <c r="C51" s="106"/>
      <c r="D51" s="106"/>
      <c r="E51" s="106"/>
      <c r="F51" s="104" t="s">
        <v>271</v>
      </c>
      <c r="G51" s="104"/>
      <c r="H51" s="96" t="s">
        <v>276</v>
      </c>
    </row>
    <row r="52" spans="1:8" x14ac:dyDescent="0.25">
      <c r="A52" s="7"/>
      <c r="B52" s="7"/>
      <c r="C52" s="7"/>
      <c r="D52" s="7"/>
      <c r="E52" s="7"/>
    </row>
    <row r="53" spans="1:8" x14ac:dyDescent="0.25">
      <c r="A53" s="7"/>
      <c r="B53" s="7"/>
      <c r="C53" s="7"/>
      <c r="D53" s="7"/>
      <c r="E53" s="7"/>
    </row>
    <row r="54" spans="1:8" x14ac:dyDescent="0.25">
      <c r="A54" s="7"/>
      <c r="B54" s="7"/>
      <c r="C54" s="7"/>
      <c r="D54" s="7"/>
      <c r="E54" s="7"/>
    </row>
  </sheetData>
  <mergeCells count="4">
    <mergeCell ref="A50:E50"/>
    <mergeCell ref="F50:G50"/>
    <mergeCell ref="A51:E51"/>
    <mergeCell ref="F51:G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topLeftCell="A13" zoomScaleNormal="100" workbookViewId="0">
      <selection activeCell="A36" sqref="A2:A36"/>
    </sheetView>
  </sheetViews>
  <sheetFormatPr baseColWidth="10" defaultRowHeight="13.2" x14ac:dyDescent="0.25"/>
  <sheetData>
    <row r="1" spans="1:6" ht="15.6" x14ac:dyDescent="0.35">
      <c r="A1" s="1"/>
      <c r="B1" s="72"/>
      <c r="C1" s="72" t="s">
        <v>187</v>
      </c>
      <c r="D1" s="2" t="s">
        <v>177</v>
      </c>
      <c r="E1" s="51" t="s">
        <v>188</v>
      </c>
    </row>
    <row r="2" spans="1:6" x14ac:dyDescent="0.25">
      <c r="A2" s="1"/>
      <c r="B2" s="72"/>
      <c r="C2" s="72"/>
      <c r="D2" s="52" t="s">
        <v>155</v>
      </c>
      <c r="E2" s="51" t="s">
        <v>188</v>
      </c>
    </row>
    <row r="3" spans="1:6" x14ac:dyDescent="0.25">
      <c r="A3" s="1"/>
      <c r="B3" s="72"/>
      <c r="C3" s="72"/>
      <c r="D3" s="54" t="s">
        <v>29</v>
      </c>
      <c r="E3" s="51" t="s">
        <v>188</v>
      </c>
    </row>
    <row r="4" spans="1:6" x14ac:dyDescent="0.25">
      <c r="A4" s="1"/>
      <c r="B4" s="72"/>
      <c r="C4" s="72"/>
      <c r="D4" s="55" t="s">
        <v>181</v>
      </c>
      <c r="E4" s="51" t="s">
        <v>188</v>
      </c>
    </row>
    <row r="5" spans="1:6" ht="15.6" x14ac:dyDescent="0.35">
      <c r="A5" s="1"/>
      <c r="B5" s="72"/>
      <c r="C5" s="72"/>
      <c r="D5" s="56" t="s">
        <v>189</v>
      </c>
      <c r="E5" s="57" t="s">
        <v>190</v>
      </c>
    </row>
    <row r="6" spans="1:6" ht="15.6" x14ac:dyDescent="0.35">
      <c r="A6" s="1"/>
      <c r="B6" s="72"/>
      <c r="C6" s="72"/>
      <c r="D6" s="58" t="s">
        <v>191</v>
      </c>
      <c r="E6">
        <v>0</v>
      </c>
      <c r="F6" s="51" t="s">
        <v>175</v>
      </c>
    </row>
    <row r="7" spans="1:6" x14ac:dyDescent="0.25">
      <c r="A7" s="1"/>
      <c r="B7" s="72"/>
      <c r="C7" s="72"/>
      <c r="D7" s="2"/>
    </row>
    <row r="8" spans="1:6" ht="15.6" x14ac:dyDescent="0.35">
      <c r="A8" s="1"/>
      <c r="B8" s="72"/>
      <c r="C8" s="72" t="s">
        <v>192</v>
      </c>
      <c r="D8" s="56" t="s">
        <v>193</v>
      </c>
      <c r="E8" s="57" t="s">
        <v>194</v>
      </c>
    </row>
    <row r="9" spans="1:6" ht="15.6" x14ac:dyDescent="0.35">
      <c r="A9" s="1"/>
      <c r="B9" s="72"/>
      <c r="C9" s="72"/>
      <c r="D9" s="58" t="s">
        <v>195</v>
      </c>
      <c r="E9">
        <v>0</v>
      </c>
      <c r="F9" s="51" t="s">
        <v>175</v>
      </c>
    </row>
    <row r="10" spans="1:6" x14ac:dyDescent="0.25">
      <c r="A10" s="1"/>
      <c r="B10" s="72"/>
      <c r="C10" s="72"/>
      <c r="D10" s="2"/>
    </row>
    <row r="11" spans="1:6" ht="15.6" x14ac:dyDescent="0.35">
      <c r="A11" s="1"/>
      <c r="B11" s="72"/>
      <c r="C11" s="72" t="s">
        <v>196</v>
      </c>
      <c r="D11" s="56" t="s">
        <v>197</v>
      </c>
      <c r="E11" s="57" t="s">
        <v>198</v>
      </c>
    </row>
    <row r="12" spans="1:6" ht="15.6" x14ac:dyDescent="0.35">
      <c r="A12" s="1"/>
      <c r="B12" s="72"/>
      <c r="C12" s="72"/>
      <c r="D12" s="56" t="s">
        <v>199</v>
      </c>
      <c r="E12" s="57" t="s">
        <v>198</v>
      </c>
    </row>
    <row r="13" spans="1:6" ht="15.6" x14ac:dyDescent="0.35">
      <c r="A13" s="1"/>
      <c r="B13" s="72"/>
      <c r="C13" s="72"/>
      <c r="D13" s="58" t="s">
        <v>200</v>
      </c>
      <c r="E13">
        <v>0</v>
      </c>
      <c r="F13" s="51" t="s">
        <v>175</v>
      </c>
    </row>
    <row r="14" spans="1:6" x14ac:dyDescent="0.25">
      <c r="A14" s="1"/>
      <c r="B14" s="72"/>
      <c r="C14" s="72"/>
      <c r="D14" s="2"/>
    </row>
    <row r="15" spans="1:6" ht="16.8" x14ac:dyDescent="0.35">
      <c r="A15" s="1"/>
      <c r="B15" s="72"/>
      <c r="C15" s="72" t="s">
        <v>201</v>
      </c>
      <c r="D15" s="2" t="s">
        <v>177</v>
      </c>
      <c r="E15" s="3">
        <v>1500</v>
      </c>
      <c r="F15" s="48" t="s">
        <v>178</v>
      </c>
    </row>
    <row r="16" spans="1:6" ht="15.6" x14ac:dyDescent="0.25">
      <c r="A16" s="1"/>
      <c r="B16" s="72"/>
      <c r="C16" s="72"/>
      <c r="D16" s="2" t="s">
        <v>29</v>
      </c>
      <c r="E16" s="56">
        <f>'Page 5'!E39</f>
        <v>1.4957122623741007E-2</v>
      </c>
      <c r="F16" s="48" t="s">
        <v>180</v>
      </c>
    </row>
    <row r="17" spans="1:6" x14ac:dyDescent="0.25">
      <c r="A17" s="1"/>
      <c r="B17" s="72"/>
      <c r="C17" s="72"/>
      <c r="D17" s="54" t="s">
        <v>181</v>
      </c>
      <c r="E17" s="89">
        <f>'Page 5'!E41/3.6</f>
        <v>27.857407948591913</v>
      </c>
      <c r="F17" s="48" t="s">
        <v>263</v>
      </c>
    </row>
    <row r="18" spans="1:6" ht="15.6" x14ac:dyDescent="0.35">
      <c r="A18" s="1"/>
      <c r="B18" s="72"/>
      <c r="C18" s="72"/>
      <c r="D18" s="54" t="s">
        <v>202</v>
      </c>
      <c r="E18">
        <v>65</v>
      </c>
      <c r="F18" s="48" t="s">
        <v>174</v>
      </c>
    </row>
    <row r="19" spans="1:6" ht="15.6" x14ac:dyDescent="0.25">
      <c r="A19" s="1"/>
      <c r="B19" s="72"/>
      <c r="C19" s="72"/>
      <c r="D19" s="60" t="s">
        <v>242</v>
      </c>
      <c r="F19" s="48"/>
    </row>
    <row r="20" spans="1:6" x14ac:dyDescent="0.25">
      <c r="A20" s="1"/>
      <c r="B20" s="72"/>
      <c r="C20" s="72"/>
      <c r="D20" s="54" t="s">
        <v>154</v>
      </c>
      <c r="E20">
        <v>10</v>
      </c>
      <c r="F20" s="48" t="s">
        <v>1</v>
      </c>
    </row>
    <row r="21" spans="1:6" ht="15.6" x14ac:dyDescent="0.35">
      <c r="A21" s="1"/>
      <c r="B21" s="72"/>
      <c r="C21" s="72"/>
      <c r="D21" s="54" t="s">
        <v>202</v>
      </c>
      <c r="E21">
        <f>E20*E18</f>
        <v>650</v>
      </c>
      <c r="F21" s="48" t="s">
        <v>175</v>
      </c>
    </row>
    <row r="22" spans="1:6" x14ac:dyDescent="0.25">
      <c r="A22" s="1"/>
      <c r="B22" s="72"/>
      <c r="C22" s="72"/>
      <c r="D22" s="2"/>
    </row>
    <row r="23" spans="1:6" x14ac:dyDescent="0.25">
      <c r="A23" s="1"/>
      <c r="B23" s="72"/>
      <c r="C23" s="72" t="s">
        <v>203</v>
      </c>
      <c r="D23" s="54" t="s">
        <v>204</v>
      </c>
      <c r="E23">
        <v>136</v>
      </c>
      <c r="F23" s="51" t="s">
        <v>89</v>
      </c>
    </row>
    <row r="24" spans="1:6" ht="16.8" x14ac:dyDescent="0.35">
      <c r="A24" s="1"/>
      <c r="B24" s="72"/>
      <c r="C24" s="72"/>
      <c r="D24" s="52" t="s">
        <v>240</v>
      </c>
      <c r="E24" s="76">
        <v>1000</v>
      </c>
      <c r="F24" s="48" t="s">
        <v>186</v>
      </c>
    </row>
    <row r="25" spans="1:6" ht="15.6" x14ac:dyDescent="0.35">
      <c r="A25" s="1"/>
      <c r="B25" s="72"/>
      <c r="C25" s="72"/>
      <c r="D25" s="54" t="s">
        <v>205</v>
      </c>
      <c r="E25" s="3">
        <f>E24*'Page 5'!E45*'Page 6'!E23/1000</f>
        <v>1334.16</v>
      </c>
      <c r="F25" s="51" t="s">
        <v>175</v>
      </c>
    </row>
    <row r="26" spans="1:6" x14ac:dyDescent="0.25">
      <c r="A26" s="1"/>
      <c r="B26" s="72"/>
      <c r="C26" s="72"/>
      <c r="D26" s="60" t="s">
        <v>206</v>
      </c>
    </row>
    <row r="27" spans="1:6" x14ac:dyDescent="0.25">
      <c r="A27" s="1"/>
      <c r="B27" s="72"/>
      <c r="C27" s="72"/>
      <c r="D27" s="60" t="s">
        <v>207</v>
      </c>
    </row>
    <row r="28" spans="1:6" x14ac:dyDescent="0.25">
      <c r="A28" s="1"/>
      <c r="B28" s="72"/>
      <c r="C28" s="72"/>
      <c r="D28" s="2"/>
    </row>
    <row r="29" spans="1:6" ht="15.6" x14ac:dyDescent="0.35">
      <c r="A29" s="1"/>
      <c r="B29" s="72"/>
      <c r="C29" s="72" t="s">
        <v>208</v>
      </c>
      <c r="D29" s="54" t="s">
        <v>241</v>
      </c>
      <c r="E29" s="8">
        <v>350</v>
      </c>
      <c r="F29" s="51" t="s">
        <v>175</v>
      </c>
    </row>
    <row r="30" spans="1:6" ht="15.6" x14ac:dyDescent="0.35">
      <c r="A30" s="1"/>
      <c r="B30" s="72"/>
      <c r="C30" s="72"/>
      <c r="D30" s="54" t="s">
        <v>209</v>
      </c>
      <c r="E30" s="3">
        <f>E25+E21+E29</f>
        <v>2334.16</v>
      </c>
      <c r="F30" s="51" t="s">
        <v>175</v>
      </c>
    </row>
    <row r="31" spans="1:6" ht="15.6" x14ac:dyDescent="0.35">
      <c r="A31" s="1"/>
      <c r="B31" s="72"/>
      <c r="C31" s="72"/>
      <c r="D31" s="54" t="s">
        <v>262</v>
      </c>
      <c r="E31" s="8">
        <f>E30*'Page 5'!E36</f>
        <v>972.56666666666661</v>
      </c>
      <c r="F31" s="51" t="s">
        <v>11</v>
      </c>
    </row>
    <row r="49" spans="1:8" ht="26.4" x14ac:dyDescent="0.25">
      <c r="A49" s="116" t="s">
        <v>281</v>
      </c>
      <c r="B49" s="116"/>
      <c r="C49" s="116"/>
      <c r="D49" s="116"/>
      <c r="E49" s="116"/>
      <c r="F49" s="104" t="s">
        <v>287</v>
      </c>
      <c r="G49" s="104"/>
      <c r="H49" s="96" t="s">
        <v>292</v>
      </c>
    </row>
    <row r="50" spans="1:8" x14ac:dyDescent="0.25">
      <c r="A50" s="117" t="s">
        <v>290</v>
      </c>
      <c r="B50" s="118"/>
      <c r="C50" s="118"/>
      <c r="D50" s="118"/>
      <c r="E50" s="119"/>
      <c r="F50" s="104" t="s">
        <v>271</v>
      </c>
      <c r="G50" s="104"/>
      <c r="H50" s="96" t="s">
        <v>277</v>
      </c>
    </row>
  </sheetData>
  <mergeCells count="4">
    <mergeCell ref="A49:E49"/>
    <mergeCell ref="F49:G49"/>
    <mergeCell ref="A50:E50"/>
    <mergeCell ref="F50:G5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3"/>
  <sheetViews>
    <sheetView topLeftCell="A37" zoomScaleNormal="100" workbookViewId="0">
      <selection activeCell="H52" sqref="H52"/>
    </sheetView>
  </sheetViews>
  <sheetFormatPr baseColWidth="10" defaultRowHeight="13.2" x14ac:dyDescent="0.25"/>
  <sheetData>
    <row r="1" spans="1:1" x14ac:dyDescent="0.25">
      <c r="A1" t="s">
        <v>266</v>
      </c>
    </row>
    <row r="52" spans="1:8" ht="26.4" x14ac:dyDescent="0.25">
      <c r="A52" s="116" t="s">
        <v>281</v>
      </c>
      <c r="B52" s="116"/>
      <c r="C52" s="116"/>
      <c r="D52" s="116"/>
      <c r="E52" s="116"/>
      <c r="F52" s="120" t="s">
        <v>287</v>
      </c>
      <c r="G52" s="121"/>
      <c r="H52" s="96" t="s">
        <v>292</v>
      </c>
    </row>
    <row r="53" spans="1:8" ht="13.8" x14ac:dyDescent="0.25">
      <c r="A53" s="117" t="s">
        <v>290</v>
      </c>
      <c r="B53" s="118"/>
      <c r="C53" s="118"/>
      <c r="D53" s="118"/>
      <c r="E53" s="119"/>
      <c r="F53" s="122" t="s">
        <v>271</v>
      </c>
      <c r="G53" s="122"/>
      <c r="H53" s="97" t="s">
        <v>278</v>
      </c>
    </row>
  </sheetData>
  <mergeCells count="4">
    <mergeCell ref="A52:E52"/>
    <mergeCell ref="F52:G52"/>
    <mergeCell ref="A53:E53"/>
    <mergeCell ref="F53:G5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1"/>
  <sheetViews>
    <sheetView tabSelected="1" zoomScaleNormal="100" workbookViewId="0">
      <selection activeCell="G2" sqref="G2"/>
    </sheetView>
  </sheetViews>
  <sheetFormatPr baseColWidth="10" defaultRowHeight="13.2" x14ac:dyDescent="0.25"/>
  <sheetData>
    <row r="1" spans="1:8" x14ac:dyDescent="0.25">
      <c r="A1" s="1"/>
      <c r="B1" s="72"/>
      <c r="C1" s="72"/>
      <c r="D1" s="2"/>
    </row>
    <row r="2" spans="1:8" x14ac:dyDescent="0.25">
      <c r="A2" s="85" t="s">
        <v>216</v>
      </c>
      <c r="B2" s="86" t="s">
        <v>217</v>
      </c>
      <c r="C2" s="86"/>
      <c r="D2" s="87"/>
      <c r="E2" s="88"/>
      <c r="F2" s="88"/>
      <c r="G2" s="88"/>
    </row>
    <row r="3" spans="1:8" x14ac:dyDescent="0.25">
      <c r="A3" s="1"/>
      <c r="B3" s="72"/>
      <c r="C3" s="72"/>
      <c r="D3" s="2"/>
    </row>
    <row r="4" spans="1:8" x14ac:dyDescent="0.25">
      <c r="A4" s="1"/>
      <c r="B4" s="72" t="s">
        <v>225</v>
      </c>
      <c r="C4" s="72"/>
      <c r="D4" s="105" t="s">
        <v>221</v>
      </c>
      <c r="E4" s="63" t="s">
        <v>222</v>
      </c>
      <c r="F4" s="105" t="s">
        <v>223</v>
      </c>
      <c r="G4" s="66" t="s">
        <v>226</v>
      </c>
    </row>
    <row r="5" spans="1:8" ht="15.6" x14ac:dyDescent="0.25">
      <c r="A5" s="1"/>
      <c r="B5" s="72"/>
      <c r="C5" s="72"/>
      <c r="D5" s="105"/>
      <c r="E5" s="64" t="s">
        <v>224</v>
      </c>
      <c r="F5" s="105"/>
      <c r="G5" s="67" t="s">
        <v>227</v>
      </c>
    </row>
    <row r="6" spans="1:8" ht="15.6" x14ac:dyDescent="0.25">
      <c r="A6" s="1"/>
      <c r="B6" s="72"/>
      <c r="C6" s="72"/>
      <c r="D6" s="65" t="s">
        <v>218</v>
      </c>
      <c r="E6" s="68">
        <v>2.9000000000000002E-8</v>
      </c>
      <c r="F6" s="90">
        <v>0.18</v>
      </c>
      <c r="G6" s="69">
        <f>0.000025/(1.2*1*E6)</f>
        <v>718.39080459770116</v>
      </c>
    </row>
    <row r="7" spans="1:8" ht="15.6" x14ac:dyDescent="0.25">
      <c r="A7" s="1"/>
      <c r="B7" s="72"/>
      <c r="C7" s="72"/>
      <c r="D7" s="65" t="s">
        <v>219</v>
      </c>
      <c r="E7" s="68">
        <v>7.0999999999999999E-9</v>
      </c>
      <c r="F7" s="90">
        <v>0.16800000000000001</v>
      </c>
      <c r="G7" s="69">
        <f>0.000025/(1.2*1*E7)</f>
        <v>2934.272300469484</v>
      </c>
    </row>
    <row r="8" spans="1:8" ht="15.6" x14ac:dyDescent="0.25">
      <c r="A8" s="1"/>
      <c r="B8" s="72"/>
      <c r="C8" s="72"/>
      <c r="D8" s="65" t="s">
        <v>220</v>
      </c>
      <c r="E8" s="68">
        <v>6.6999999999999996E-9</v>
      </c>
      <c r="F8" s="90">
        <v>0.65200000000000002</v>
      </c>
      <c r="G8" s="69">
        <f>0.000025/(1.2*1*E8)</f>
        <v>3109.4527363184084</v>
      </c>
    </row>
    <row r="9" spans="1:8" x14ac:dyDescent="0.25">
      <c r="A9" s="1"/>
      <c r="B9" s="72"/>
      <c r="C9" s="72"/>
      <c r="D9" s="2"/>
    </row>
    <row r="10" spans="1:8" ht="15.6" x14ac:dyDescent="0.35">
      <c r="A10" s="1"/>
      <c r="B10" s="72" t="s">
        <v>228</v>
      </c>
      <c r="C10" s="72"/>
      <c r="D10" s="53" t="s">
        <v>229</v>
      </c>
      <c r="E10" s="61">
        <f>F6/G6+F7/G7+F8/G8</f>
        <v>5.174976E-4</v>
      </c>
    </row>
    <row r="11" spans="1:8" ht="16.8" x14ac:dyDescent="0.35">
      <c r="A11" s="1"/>
      <c r="B11" s="72"/>
      <c r="C11" s="72"/>
      <c r="D11" s="53" t="s">
        <v>243</v>
      </c>
      <c r="E11" s="78">
        <f>1/E10/1000</f>
        <v>1.9323761115027394</v>
      </c>
      <c r="F11" s="70" t="s">
        <v>232</v>
      </c>
      <c r="G11" s="51"/>
      <c r="H11" s="51"/>
    </row>
    <row r="12" spans="1:8" x14ac:dyDescent="0.25">
      <c r="A12" s="1"/>
      <c r="B12" s="72"/>
      <c r="C12" s="72"/>
      <c r="D12" s="53"/>
      <c r="E12" s="3"/>
      <c r="F12" s="70"/>
      <c r="G12" s="51"/>
      <c r="H12" s="51"/>
    </row>
    <row r="13" spans="1:8" ht="16.8" x14ac:dyDescent="0.35">
      <c r="A13" s="1"/>
      <c r="B13" s="72" t="s">
        <v>230</v>
      </c>
      <c r="C13" s="72"/>
      <c r="D13" s="54" t="s">
        <v>231</v>
      </c>
      <c r="E13" s="3">
        <v>61</v>
      </c>
      <c r="F13" s="70" t="s">
        <v>232</v>
      </c>
      <c r="G13" s="51"/>
      <c r="H13" s="51"/>
    </row>
    <row r="14" spans="1:8" x14ac:dyDescent="0.25">
      <c r="A14" s="1"/>
      <c r="B14" s="72"/>
      <c r="C14" s="72"/>
      <c r="D14" s="54" t="s">
        <v>233</v>
      </c>
      <c r="E14" s="71">
        <f>E13/E11</f>
        <v>31.567353600000001</v>
      </c>
      <c r="F14" s="70" t="s">
        <v>214</v>
      </c>
      <c r="G14" s="51"/>
      <c r="H14" s="51"/>
    </row>
    <row r="15" spans="1:8" x14ac:dyDescent="0.25">
      <c r="A15" s="1"/>
      <c r="B15" s="72"/>
      <c r="C15" s="72"/>
      <c r="D15" s="54"/>
      <c r="E15" s="3"/>
      <c r="F15" s="70"/>
      <c r="G15" s="51"/>
      <c r="H15" s="51"/>
    </row>
    <row r="16" spans="1:8" ht="16.8" x14ac:dyDescent="0.35">
      <c r="A16" s="1"/>
      <c r="B16" s="72" t="s">
        <v>237</v>
      </c>
      <c r="C16" s="72"/>
      <c r="D16" s="54" t="s">
        <v>210</v>
      </c>
      <c r="E16">
        <v>60</v>
      </c>
      <c r="F16" s="48" t="s">
        <v>211</v>
      </c>
      <c r="G16" s="51"/>
      <c r="H16" s="51"/>
    </row>
    <row r="17" spans="1:8" ht="16.8" x14ac:dyDescent="0.35">
      <c r="A17" s="1"/>
      <c r="B17" s="72"/>
      <c r="C17" s="72"/>
      <c r="D17" s="2" t="s">
        <v>177</v>
      </c>
      <c r="E17" s="3">
        <v>850</v>
      </c>
      <c r="F17" s="48" t="s">
        <v>178</v>
      </c>
      <c r="G17" s="51"/>
      <c r="H17" s="51"/>
    </row>
    <row r="18" spans="1:8" x14ac:dyDescent="0.25">
      <c r="A18" s="1"/>
      <c r="B18" s="72"/>
      <c r="C18" s="72"/>
      <c r="D18" s="54" t="s">
        <v>142</v>
      </c>
      <c r="E18" s="8">
        <v>30</v>
      </c>
      <c r="F18" s="51" t="s">
        <v>215</v>
      </c>
    </row>
    <row r="19" spans="1:8" x14ac:dyDescent="0.25">
      <c r="A19" s="1"/>
      <c r="B19" s="72"/>
      <c r="C19" s="72"/>
      <c r="D19" s="54"/>
      <c r="E19" s="71">
        <f>E18/60</f>
        <v>0.5</v>
      </c>
      <c r="F19" s="51" t="s">
        <v>0</v>
      </c>
    </row>
    <row r="20" spans="1:8" ht="15.6" x14ac:dyDescent="0.25">
      <c r="A20" s="1"/>
      <c r="B20" s="72"/>
      <c r="C20" s="72"/>
      <c r="D20" s="54" t="s">
        <v>212</v>
      </c>
      <c r="E20" s="59">
        <f>E17/E16</f>
        <v>14.166666666666666</v>
      </c>
      <c r="F20" s="51" t="s">
        <v>234</v>
      </c>
    </row>
    <row r="21" spans="1:8" ht="15.6" x14ac:dyDescent="0.35">
      <c r="A21" s="1"/>
      <c r="B21" s="72"/>
      <c r="C21" s="72"/>
      <c r="D21" s="54" t="s">
        <v>213</v>
      </c>
      <c r="E21" s="71">
        <f>E14</f>
        <v>31.567353600000001</v>
      </c>
      <c r="F21" s="70" t="s">
        <v>214</v>
      </c>
    </row>
    <row r="22" spans="1:8" x14ac:dyDescent="0.25">
      <c r="A22" s="1"/>
      <c r="B22" s="72"/>
      <c r="C22" s="72"/>
      <c r="D22" s="54" t="s">
        <v>59</v>
      </c>
      <c r="E22" s="62">
        <f>E21*EXP(-E20*E19)</f>
        <v>2.6484122918487861E-2</v>
      </c>
      <c r="F22" s="70" t="s">
        <v>214</v>
      </c>
    </row>
    <row r="23" spans="1:8" x14ac:dyDescent="0.25">
      <c r="A23" s="1"/>
      <c r="B23" s="72"/>
      <c r="C23" s="72"/>
      <c r="D23" s="60" t="s">
        <v>235</v>
      </c>
    </row>
    <row r="24" spans="1:8" x14ac:dyDescent="0.25">
      <c r="A24" s="1"/>
      <c r="B24" s="72"/>
      <c r="C24" s="72"/>
      <c r="D24" s="60" t="s">
        <v>236</v>
      </c>
    </row>
    <row r="25" spans="1:8" x14ac:dyDescent="0.25">
      <c r="A25" s="1"/>
      <c r="B25" s="72"/>
      <c r="C25" s="72"/>
      <c r="D25" s="2"/>
    </row>
    <row r="26" spans="1:8" x14ac:dyDescent="0.25">
      <c r="A26" s="85" t="s">
        <v>238</v>
      </c>
      <c r="B26" s="86" t="s">
        <v>239</v>
      </c>
      <c r="C26" s="86"/>
      <c r="D26" s="87"/>
      <c r="E26" s="88"/>
      <c r="F26" s="88"/>
      <c r="G26" s="88"/>
    </row>
    <row r="27" spans="1:8" x14ac:dyDescent="0.25">
      <c r="A27" s="1"/>
      <c r="B27" s="72"/>
      <c r="C27" s="72"/>
      <c r="D27" s="2"/>
    </row>
    <row r="28" spans="1:8" ht="16.8" x14ac:dyDescent="0.25">
      <c r="A28" s="79" t="s">
        <v>244</v>
      </c>
      <c r="B28" s="65" t="s">
        <v>245</v>
      </c>
      <c r="C28" s="65" t="s">
        <v>246</v>
      </c>
      <c r="D28" s="65" t="s">
        <v>247</v>
      </c>
      <c r="E28" s="79" t="s">
        <v>248</v>
      </c>
    </row>
    <row r="29" spans="1:8" x14ac:dyDescent="0.25">
      <c r="A29" s="79">
        <v>1</v>
      </c>
      <c r="B29" s="79">
        <v>15</v>
      </c>
      <c r="C29" s="79">
        <v>653</v>
      </c>
      <c r="D29" s="80">
        <f>C29-B29</f>
        <v>638</v>
      </c>
      <c r="E29" s="82">
        <f>2*SQRT(B29)</f>
        <v>7.745966692414834</v>
      </c>
    </row>
    <row r="30" spans="1:8" x14ac:dyDescent="0.25">
      <c r="A30" s="79">
        <v>2</v>
      </c>
      <c r="B30" s="79">
        <v>17</v>
      </c>
      <c r="C30" s="79">
        <v>29</v>
      </c>
      <c r="D30" s="80">
        <f>C30-B30</f>
        <v>12</v>
      </c>
      <c r="E30" s="80">
        <f>2*SQRT(B30)</f>
        <v>8.2462112512353212</v>
      </c>
    </row>
    <row r="31" spans="1:8" x14ac:dyDescent="0.25">
      <c r="A31" s="79">
        <v>3</v>
      </c>
      <c r="B31" s="79">
        <v>12</v>
      </c>
      <c r="C31" s="79">
        <v>18</v>
      </c>
      <c r="D31" s="80">
        <f>C31-B31</f>
        <v>6</v>
      </c>
      <c r="E31" s="80">
        <f>2*SQRT(B31)</f>
        <v>6.9282032302755088</v>
      </c>
    </row>
    <row r="32" spans="1:8" x14ac:dyDescent="0.25">
      <c r="A32" s="1"/>
      <c r="B32" s="72"/>
      <c r="C32" s="72"/>
      <c r="D32" s="2"/>
    </row>
    <row r="33" spans="1:4" x14ac:dyDescent="0.25">
      <c r="A33" s="53" t="s">
        <v>250</v>
      </c>
      <c r="B33" s="72"/>
      <c r="C33" s="72"/>
      <c r="D33" s="2"/>
    </row>
    <row r="34" spans="1:4" x14ac:dyDescent="0.25">
      <c r="A34" s="53" t="s">
        <v>251</v>
      </c>
      <c r="B34" s="51" t="s">
        <v>253</v>
      </c>
      <c r="C34" s="72"/>
      <c r="D34" s="2"/>
    </row>
    <row r="35" spans="1:4" x14ac:dyDescent="0.25">
      <c r="A35" s="2"/>
      <c r="B35" s="51" t="s">
        <v>252</v>
      </c>
      <c r="C35" s="72"/>
      <c r="D35" s="2"/>
    </row>
    <row r="36" spans="1:4" x14ac:dyDescent="0.25">
      <c r="A36" s="53" t="s">
        <v>254</v>
      </c>
      <c r="B36" s="81" t="s">
        <v>257</v>
      </c>
      <c r="C36" s="72"/>
      <c r="D36" s="2"/>
    </row>
    <row r="37" spans="1:4" x14ac:dyDescent="0.25">
      <c r="A37" s="2"/>
      <c r="B37" s="51" t="s">
        <v>258</v>
      </c>
      <c r="C37" s="72"/>
      <c r="D37" s="2"/>
    </row>
    <row r="38" spans="1:4" x14ac:dyDescent="0.25">
      <c r="A38" s="2"/>
      <c r="B38" s="51" t="s">
        <v>259</v>
      </c>
      <c r="C38" s="72"/>
      <c r="D38" s="2"/>
    </row>
    <row r="39" spans="1:4" x14ac:dyDescent="0.25">
      <c r="A39" s="53" t="s">
        <v>255</v>
      </c>
      <c r="B39" t="s">
        <v>249</v>
      </c>
      <c r="C39" s="72"/>
      <c r="D39" s="2"/>
    </row>
    <row r="40" spans="1:4" x14ac:dyDescent="0.25">
      <c r="A40" s="1"/>
      <c r="B40" s="51" t="s">
        <v>256</v>
      </c>
      <c r="C40" s="72"/>
      <c r="D40" s="2"/>
    </row>
    <row r="41" spans="1:4" x14ac:dyDescent="0.25">
      <c r="A41" s="1"/>
      <c r="B41" s="72"/>
      <c r="C41" s="72"/>
      <c r="D41" s="2"/>
    </row>
    <row r="42" spans="1:4" x14ac:dyDescent="0.25">
      <c r="A42" s="1"/>
      <c r="B42" s="72"/>
      <c r="C42" s="72"/>
      <c r="D42" s="2"/>
    </row>
    <row r="43" spans="1:4" x14ac:dyDescent="0.25">
      <c r="A43" s="1"/>
      <c r="B43" s="72"/>
      <c r="C43" s="72"/>
      <c r="D43" s="2"/>
    </row>
    <row r="44" spans="1:4" x14ac:dyDescent="0.25">
      <c r="A44" s="1"/>
      <c r="B44" s="72"/>
      <c r="C44" s="72"/>
      <c r="D44" s="2"/>
    </row>
    <row r="45" spans="1:4" x14ac:dyDescent="0.25">
      <c r="A45" s="1"/>
      <c r="B45" s="72"/>
      <c r="C45" s="72"/>
      <c r="D45" s="2"/>
    </row>
    <row r="46" spans="1:4" x14ac:dyDescent="0.25">
      <c r="A46" s="1"/>
      <c r="B46" s="72"/>
      <c r="C46" s="72"/>
      <c r="D46" s="2"/>
    </row>
    <row r="47" spans="1:4" x14ac:dyDescent="0.25">
      <c r="A47" s="1"/>
      <c r="B47" s="72"/>
      <c r="C47" s="72"/>
      <c r="D47" s="2"/>
    </row>
    <row r="48" spans="1:4" x14ac:dyDescent="0.25">
      <c r="A48" s="1"/>
      <c r="B48" s="72"/>
      <c r="C48" s="72"/>
      <c r="D48" s="2"/>
    </row>
    <row r="49" spans="1:8" ht="26.4" x14ac:dyDescent="0.25">
      <c r="A49" s="116" t="s">
        <v>281</v>
      </c>
      <c r="B49" s="116"/>
      <c r="C49" s="116"/>
      <c r="D49" s="116"/>
      <c r="E49" s="116"/>
      <c r="F49" s="120" t="s">
        <v>287</v>
      </c>
      <c r="G49" s="121"/>
      <c r="H49" s="96" t="s">
        <v>292</v>
      </c>
    </row>
    <row r="50" spans="1:8" ht="13.8" x14ac:dyDescent="0.25">
      <c r="A50" s="117" t="s">
        <v>290</v>
      </c>
      <c r="B50" s="118"/>
      <c r="C50" s="118"/>
      <c r="D50" s="118"/>
      <c r="E50" s="119"/>
      <c r="F50" s="122" t="s">
        <v>271</v>
      </c>
      <c r="G50" s="122"/>
      <c r="H50" s="97" t="s">
        <v>279</v>
      </c>
    </row>
    <row r="51" spans="1:8" x14ac:dyDescent="0.25">
      <c r="A51" s="1"/>
      <c r="B51" s="72"/>
      <c r="C51" s="72"/>
      <c r="D51" s="2"/>
    </row>
  </sheetData>
  <mergeCells count="6">
    <mergeCell ref="D4:D5"/>
    <mergeCell ref="F4:F5"/>
    <mergeCell ref="A49:E49"/>
    <mergeCell ref="F49:G49"/>
    <mergeCell ref="A50:E50"/>
    <mergeCell ref="F50:G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'Page 4'!Zone_d_impression</vt:lpstr>
      <vt:lpstr>'Page 8'!Zone_d_impression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Thomas BRIERE</cp:lastModifiedBy>
  <cp:lastPrinted>2018-12-12T10:41:27Z</cp:lastPrinted>
  <dcterms:created xsi:type="dcterms:W3CDTF">2016-05-22T09:34:05Z</dcterms:created>
  <dcterms:modified xsi:type="dcterms:W3CDTF">2019-10-01T09:58:13Z</dcterms:modified>
</cp:coreProperties>
</file>